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ermontgov-my.sharepoint.com/personal/eric_blatt_vermont_gov/Documents/MyFiles/1-FED/1A-SRF-General Info/Engineering Fee Allowance/"/>
    </mc:Choice>
  </mc:AlternateContent>
  <xr:revisionPtr revIDLastSave="1" documentId="8_{CE880F84-68F6-4023-8AA4-4B3767D59881}" xr6:coauthVersionLast="47" xr6:coauthVersionMax="47" xr10:uidLastSave="{53B01107-416A-414B-B18A-99A7B46CD7AD}"/>
  <bookViews>
    <workbookView xWindow="-108" yWindow="-108" windowWidth="23256" windowHeight="12456" xr2:uid="{E3A69F2F-8E44-479A-BBB2-09526D4AADFB}"/>
  </bookViews>
  <sheets>
    <sheet name="Raw Data" sheetId="1" r:id="rId1"/>
    <sheet name="RPR %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31" i="1" l="1"/>
  <c r="T32" i="1"/>
  <c r="T33" i="1"/>
  <c r="T34" i="1"/>
  <c r="T35" i="1"/>
  <c r="R35" i="1" s="1"/>
  <c r="T36" i="1"/>
  <c r="R36" i="1"/>
  <c r="K27" i="1"/>
  <c r="H27" i="1"/>
  <c r="E27" i="1"/>
  <c r="K24" i="1"/>
  <c r="H24" i="1"/>
  <c r="E24" i="1"/>
  <c r="P35" i="1" l="1"/>
  <c r="P36" i="1"/>
  <c r="K35" i="1"/>
  <c r="R34" i="1"/>
  <c r="H35" i="1"/>
  <c r="E35" i="1"/>
  <c r="R33" i="1"/>
  <c r="K34" i="1"/>
  <c r="H34" i="1"/>
  <c r="E34" i="1"/>
  <c r="E33" i="1"/>
  <c r="E36" i="1"/>
  <c r="R32" i="1"/>
  <c r="P32" i="1"/>
  <c r="K33" i="1"/>
  <c r="H33" i="1"/>
  <c r="P31" i="1"/>
  <c r="R31" i="1"/>
  <c r="K19" i="1"/>
  <c r="H19" i="1"/>
  <c r="E19" i="1"/>
  <c r="K16" i="1"/>
  <c r="K31" i="1"/>
  <c r="K6" i="1"/>
  <c r="K12" i="1"/>
  <c r="K7" i="1"/>
  <c r="K29" i="1"/>
  <c r="K26" i="1"/>
  <c r="K20" i="1"/>
  <c r="K25" i="1"/>
  <c r="K15" i="1"/>
  <c r="K9" i="1"/>
  <c r="K11" i="1"/>
  <c r="K8" i="1"/>
  <c r="K14" i="1"/>
  <c r="K10" i="1"/>
  <c r="K18" i="1"/>
  <c r="K23" i="1"/>
  <c r="K32" i="1"/>
  <c r="K21" i="1"/>
  <c r="K36" i="1"/>
  <c r="K28" i="1"/>
  <c r="K17" i="1"/>
  <c r="K4" i="1"/>
  <c r="K13" i="1"/>
  <c r="K30" i="1"/>
  <c r="K22" i="1"/>
  <c r="K5" i="1"/>
  <c r="H16" i="1"/>
  <c r="H31" i="1"/>
  <c r="H6" i="1"/>
  <c r="H12" i="1"/>
  <c r="H7" i="1"/>
  <c r="H29" i="1"/>
  <c r="H26" i="1"/>
  <c r="H20" i="1"/>
  <c r="H25" i="1"/>
  <c r="H15" i="1"/>
  <c r="H9" i="1"/>
  <c r="H11" i="1"/>
  <c r="H8" i="1"/>
  <c r="H14" i="1"/>
  <c r="H10" i="1"/>
  <c r="H18" i="1"/>
  <c r="H23" i="1"/>
  <c r="H32" i="1"/>
  <c r="H21" i="1"/>
  <c r="H36" i="1"/>
  <c r="H28" i="1"/>
  <c r="H17" i="1"/>
  <c r="H4" i="1"/>
  <c r="H13" i="1"/>
  <c r="H30" i="1"/>
  <c r="H22" i="1"/>
  <c r="H5" i="1"/>
  <c r="E25" i="1"/>
  <c r="E15" i="1"/>
  <c r="E20" i="1"/>
  <c r="T14" i="1"/>
  <c r="T13" i="1"/>
  <c r="T24" i="1"/>
  <c r="E13" i="1"/>
  <c r="T28" i="1"/>
  <c r="E4" i="1"/>
  <c r="T27" i="1"/>
  <c r="E32" i="1"/>
  <c r="T22" i="1"/>
  <c r="T12" i="1"/>
  <c r="E26" i="1"/>
  <c r="T11" i="1"/>
  <c r="E14" i="1"/>
  <c r="E8" i="1"/>
  <c r="E17" i="1"/>
  <c r="E29" i="1"/>
  <c r="E22" i="1"/>
  <c r="E30" i="1"/>
  <c r="E21" i="1"/>
  <c r="E6" i="1"/>
  <c r="E12" i="1"/>
  <c r="E7" i="1"/>
  <c r="E11" i="1"/>
  <c r="E28" i="1"/>
  <c r="E31" i="1"/>
  <c r="E23" i="1"/>
  <c r="E16" i="1"/>
  <c r="E18" i="1"/>
  <c r="E10" i="1"/>
  <c r="T4" i="1"/>
  <c r="T19" i="1"/>
  <c r="T20" i="1"/>
  <c r="R20" i="1" s="1"/>
  <c r="T21" i="1"/>
  <c r="T5" i="1"/>
  <c r="T6" i="1"/>
  <c r="P6" i="1" s="1"/>
  <c r="T16" i="1"/>
  <c r="R16" i="1" s="1"/>
  <c r="T23" i="1"/>
  <c r="T7" i="1"/>
  <c r="R7" i="1" s="1"/>
  <c r="T8" i="1"/>
  <c r="T9" i="1"/>
  <c r="P9" i="1" s="1"/>
  <c r="T25" i="1"/>
  <c r="P25" i="1" s="1"/>
  <c r="T29" i="1"/>
  <c r="R29" i="1" s="1"/>
  <c r="T30" i="1"/>
  <c r="P30" i="1" s="1"/>
  <c r="T10" i="1"/>
  <c r="T26" i="1"/>
  <c r="P26" i="1" s="1"/>
  <c r="T17" i="1"/>
  <c r="R17" i="1" s="1"/>
  <c r="T18" i="1"/>
  <c r="E5" i="1"/>
  <c r="T15" i="1"/>
  <c r="E9" i="1"/>
  <c r="G35" i="1" l="1"/>
  <c r="G34" i="1"/>
  <c r="J35" i="1"/>
  <c r="M34" i="1"/>
  <c r="H27" i="3" s="1"/>
  <c r="M35" i="1"/>
  <c r="H28" i="3" s="1"/>
  <c r="J34" i="1"/>
  <c r="J33" i="1"/>
  <c r="G33" i="1"/>
  <c r="V33" i="1" s="1"/>
  <c r="M19" i="1"/>
  <c r="H12" i="3" s="1"/>
  <c r="J26" i="1"/>
  <c r="J14" i="1"/>
  <c r="P33" i="1"/>
  <c r="G23" i="1"/>
  <c r="J24" i="1"/>
  <c r="G24" i="1"/>
  <c r="M24" i="1"/>
  <c r="H17" i="3" s="1"/>
  <c r="J12" i="1"/>
  <c r="J13" i="1"/>
  <c r="G19" i="1"/>
  <c r="P34" i="1"/>
  <c r="M27" i="1"/>
  <c r="H20" i="3" s="1"/>
  <c r="J27" i="1"/>
  <c r="G27" i="1"/>
  <c r="J19" i="1"/>
  <c r="M33" i="1"/>
  <c r="H26" i="3" s="1"/>
  <c r="M10" i="1"/>
  <c r="F12" i="3" s="1"/>
  <c r="J36" i="1"/>
  <c r="M32" i="1"/>
  <c r="H25" i="3" s="1"/>
  <c r="M29" i="1"/>
  <c r="H22" i="3" s="1"/>
  <c r="G25" i="1"/>
  <c r="J15" i="1"/>
  <c r="J4" i="1"/>
  <c r="M5" i="1"/>
  <c r="F7" i="3" s="1"/>
  <c r="J21" i="1"/>
  <c r="G20" i="1"/>
  <c r="S5" i="1"/>
  <c r="S28" i="1"/>
  <c r="P28" i="1"/>
  <c r="P11" i="1"/>
  <c r="G26" i="1"/>
  <c r="P13" i="1"/>
  <c r="G4" i="1"/>
  <c r="G13" i="1"/>
  <c r="G15" i="1"/>
  <c r="S27" i="1"/>
  <c r="M25" i="1"/>
  <c r="H18" i="3" s="1"/>
  <c r="S13" i="1"/>
  <c r="P24" i="1"/>
  <c r="S24" i="1"/>
  <c r="J25" i="1"/>
  <c r="R14" i="1"/>
  <c r="R11" i="1"/>
  <c r="S11" i="1"/>
  <c r="P27" i="1"/>
  <c r="R28" i="1"/>
  <c r="G36" i="1"/>
  <c r="V36" i="1" s="1"/>
  <c r="R13" i="1"/>
  <c r="P14" i="1"/>
  <c r="S14" i="1"/>
  <c r="M15" i="1"/>
  <c r="H8" i="3" s="1"/>
  <c r="R24" i="1"/>
  <c r="M36" i="1"/>
  <c r="H29" i="3" s="1"/>
  <c r="M13" i="1"/>
  <c r="H6" i="3" s="1"/>
  <c r="S12" i="1"/>
  <c r="R27" i="1"/>
  <c r="M4" i="1"/>
  <c r="J32" i="1"/>
  <c r="R22" i="1"/>
  <c r="G32" i="1"/>
  <c r="P22" i="1"/>
  <c r="S22" i="1"/>
  <c r="P12" i="1"/>
  <c r="J20" i="1"/>
  <c r="M20" i="1"/>
  <c r="H13" i="3" s="1"/>
  <c r="R12" i="1"/>
  <c r="M26" i="1"/>
  <c r="H19" i="3" s="1"/>
  <c r="P4" i="1"/>
  <c r="G5" i="1"/>
  <c r="R4" i="1"/>
  <c r="S29" i="1"/>
  <c r="S15" i="1"/>
  <c r="S9" i="1"/>
  <c r="S26" i="1"/>
  <c r="S18" i="1"/>
  <c r="M14" i="1"/>
  <c r="H7" i="3" s="1"/>
  <c r="P18" i="1"/>
  <c r="G8" i="1"/>
  <c r="M8" i="1"/>
  <c r="F10" i="3" s="1"/>
  <c r="S17" i="1"/>
  <c r="J8" i="1"/>
  <c r="J17" i="1"/>
  <c r="G17" i="1"/>
  <c r="S16" i="1"/>
  <c r="S25" i="1"/>
  <c r="J9" i="1"/>
  <c r="G14" i="1"/>
  <c r="J5" i="1"/>
  <c r="M17" i="1"/>
  <c r="H10" i="3" s="1"/>
  <c r="P17" i="1"/>
  <c r="R18" i="1"/>
  <c r="S7" i="1"/>
  <c r="S30" i="1"/>
  <c r="P15" i="1"/>
  <c r="R26" i="1"/>
  <c r="R25" i="1"/>
  <c r="G9" i="1"/>
  <c r="R15" i="1"/>
  <c r="S20" i="1"/>
  <c r="M9" i="1"/>
  <c r="F11" i="3" s="1"/>
  <c r="S19" i="1"/>
  <c r="S23" i="1"/>
  <c r="S10" i="1"/>
  <c r="G29" i="1"/>
  <c r="R10" i="1"/>
  <c r="J29" i="1"/>
  <c r="P10" i="1"/>
  <c r="M22" i="1"/>
  <c r="H15" i="3" s="1"/>
  <c r="J22" i="1"/>
  <c r="G22" i="1"/>
  <c r="R30" i="1"/>
  <c r="G30" i="1"/>
  <c r="J30" i="1"/>
  <c r="M30" i="1"/>
  <c r="H23" i="3" s="1"/>
  <c r="P29" i="1"/>
  <c r="M28" i="1"/>
  <c r="H21" i="3" s="1"/>
  <c r="G28" i="1"/>
  <c r="J28" i="1"/>
  <c r="G7" i="1"/>
  <c r="R9" i="1"/>
  <c r="M7" i="1"/>
  <c r="F9" i="3" s="1"/>
  <c r="J7" i="1"/>
  <c r="R8" i="1"/>
  <c r="S8" i="1"/>
  <c r="G12" i="1"/>
  <c r="P8" i="1"/>
  <c r="M12" i="1"/>
  <c r="F14" i="3" s="1"/>
  <c r="G6" i="1"/>
  <c r="J6" i="1"/>
  <c r="M6" i="1"/>
  <c r="F8" i="3" s="1"/>
  <c r="P7" i="1"/>
  <c r="M21" i="1"/>
  <c r="H14" i="3" s="1"/>
  <c r="P23" i="1"/>
  <c r="G21" i="1"/>
  <c r="R23" i="1"/>
  <c r="J11" i="1"/>
  <c r="P16" i="1"/>
  <c r="G11" i="1"/>
  <c r="M11" i="1"/>
  <c r="F13" i="3" s="1"/>
  <c r="M31" i="1"/>
  <c r="H24" i="3" s="1"/>
  <c r="J31" i="1"/>
  <c r="R6" i="1"/>
  <c r="G31" i="1"/>
  <c r="S6" i="1"/>
  <c r="G16" i="1"/>
  <c r="J16" i="1"/>
  <c r="M16" i="1"/>
  <c r="H9" i="3" s="1"/>
  <c r="P5" i="1"/>
  <c r="R5" i="1"/>
  <c r="R21" i="1"/>
  <c r="M23" i="1"/>
  <c r="H16" i="3" s="1"/>
  <c r="S21" i="1"/>
  <c r="P21" i="1"/>
  <c r="J23" i="1"/>
  <c r="M18" i="1"/>
  <c r="H11" i="3" s="1"/>
  <c r="J18" i="1"/>
  <c r="G18" i="1"/>
  <c r="P20" i="1"/>
  <c r="P19" i="1"/>
  <c r="G10" i="1"/>
  <c r="R19" i="1"/>
  <c r="J10" i="1"/>
  <c r="H31" i="3" l="1"/>
  <c r="H32" i="3" s="1"/>
  <c r="F6" i="3"/>
  <c r="F31" i="3" s="1"/>
  <c r="F32" i="3" s="1"/>
  <c r="M42" i="1"/>
  <c r="V34" i="1"/>
  <c r="V35" i="1"/>
  <c r="M40" i="1"/>
  <c r="M43" i="1"/>
  <c r="V32" i="1"/>
  <c r="V31" i="1"/>
  <c r="V28" i="1"/>
  <c r="V11" i="1"/>
  <c r="V14" i="1"/>
  <c r="V27" i="1"/>
  <c r="V13" i="1"/>
  <c r="V24" i="1"/>
  <c r="V22" i="1"/>
  <c r="V12" i="1"/>
  <c r="V4" i="1"/>
  <c r="V8" i="1"/>
  <c r="V18" i="1"/>
  <c r="V26" i="1"/>
  <c r="V15" i="1"/>
  <c r="V17" i="1"/>
  <c r="V10" i="1"/>
  <c r="V30" i="1"/>
  <c r="V29" i="1"/>
  <c r="V25" i="1"/>
  <c r="V9" i="1"/>
  <c r="V7" i="1"/>
  <c r="V23" i="1"/>
  <c r="V16" i="1"/>
  <c r="V6" i="1"/>
  <c r="V5" i="1"/>
  <c r="V21" i="1"/>
  <c r="V20" i="1"/>
  <c r="V19" i="1"/>
</calcChain>
</file>

<file path=xl/sharedStrings.xml><?xml version="1.0" encoding="utf-8"?>
<sst xmlns="http://schemas.openxmlformats.org/spreadsheetml/2006/main" count="77" uniqueCount="68">
  <si>
    <t>project</t>
  </si>
  <si>
    <t>construction cost</t>
  </si>
  <si>
    <t>fee allowance</t>
  </si>
  <si>
    <t>CA</t>
  </si>
  <si>
    <t>RPR</t>
  </si>
  <si>
    <t>special services</t>
  </si>
  <si>
    <t>approval year</t>
  </si>
  <si>
    <t>post-construction</t>
  </si>
  <si>
    <t>% of fee</t>
  </si>
  <si>
    <t>Total Step III</t>
  </si>
  <si>
    <t xml:space="preserve">Addison (RF1-195) </t>
  </si>
  <si>
    <t>Bid</t>
  </si>
  <si>
    <t>Ascutney FD 1 (RF3-370/C1&amp;2)</t>
  </si>
  <si>
    <t>BFVC (RF3-367/2020-1)</t>
  </si>
  <si>
    <t>BFVC (RF3-367/2017-2)</t>
  </si>
  <si>
    <t>90 (407)</t>
  </si>
  <si>
    <t>Note: joint funded projects (regardless of how or who the split is between) are not broken up for the purposes of this assessment</t>
  </si>
  <si>
    <t>BFVC (RF3-367/2017-1)</t>
  </si>
  <si>
    <t>210 (324)</t>
  </si>
  <si>
    <t>Cabot (RF3-357)</t>
  </si>
  <si>
    <t>Hartford (RF1-222/RF3-390)</t>
  </si>
  <si>
    <t>Hemlock Ridge (RF3-355)</t>
  </si>
  <si>
    <t>81(216)</t>
  </si>
  <si>
    <t>Hyde Park (RF1-200)</t>
  </si>
  <si>
    <t>Troy (RF3-373)</t>
  </si>
  <si>
    <t>W. Windsor (RF1-228)</t>
  </si>
  <si>
    <t>W. Windsor (RF3-376)</t>
  </si>
  <si>
    <t>150(176)</t>
  </si>
  <si>
    <t>90(293)</t>
  </si>
  <si>
    <t>60(373)</t>
  </si>
  <si>
    <t>Rutland City (1-237/3-371)</t>
  </si>
  <si>
    <t>Rutland City Digestor (1-235)</t>
  </si>
  <si>
    <t>Rutland City FM (1-236)</t>
  </si>
  <si>
    <t>Ludlow WWTP (RF1-225)</t>
  </si>
  <si>
    <t>Pittsford (RF1-218)</t>
  </si>
  <si>
    <t>Peacham (3-362)</t>
  </si>
  <si>
    <t>Proctor (RF3-363)</t>
  </si>
  <si>
    <t>Brandon (1-214/3-372)</t>
  </si>
  <si>
    <t>Ludlow High St (1-272/3-4170</t>
  </si>
  <si>
    <r>
      <t>outside curve</t>
    </r>
    <r>
      <rPr>
        <b/>
        <vertAlign val="superscript"/>
        <sz val="12"/>
        <color theme="1"/>
        <rFont val="Calibri"/>
        <family val="2"/>
        <scheme val="minor"/>
      </rPr>
      <t>1</t>
    </r>
  </si>
  <si>
    <t>1 - for the sake of this sheet, all fees above the fee allowance are assumed to be non-standard tasks excluded from the curve (e.g. cross-cutters or similar); no analysis has been done to corroborate that assumption</t>
  </si>
  <si>
    <t>Hyde Park H2O (RF3-386)</t>
  </si>
  <si>
    <t>RTFD6 (RF3-364)</t>
  </si>
  <si>
    <t>West Rutland (RF3-389)</t>
  </si>
  <si>
    <t>St J - Pleasant (1-215/3-xxx)</t>
  </si>
  <si>
    <t>Shelburne (1-186)</t>
  </si>
  <si>
    <t>Proctor (RF1-209)</t>
  </si>
  <si>
    <t>% of Ccost</t>
  </si>
  <si>
    <t>Days (final)</t>
  </si>
  <si>
    <t>)</t>
  </si>
  <si>
    <t>&lt;780k</t>
  </si>
  <si>
    <t>&gt;780k</t>
  </si>
  <si>
    <t>median OA</t>
  </si>
  <si>
    <t>Mount Holly (RF3-543)</t>
  </si>
  <si>
    <t>South Alburg (RF3-420)</t>
  </si>
  <si>
    <t>Springfield (RF3-xxx)</t>
  </si>
  <si>
    <t>2024</t>
  </si>
  <si>
    <t>Bolton (RF1-274)</t>
  </si>
  <si>
    <t>Brattleboro Tank (RF3-)</t>
  </si>
  <si>
    <t>VACH (RF1)</t>
  </si>
  <si>
    <t>2022</t>
  </si>
  <si>
    <t>Average</t>
  </si>
  <si>
    <t>Median</t>
  </si>
  <si>
    <t>C&lt;$500K</t>
  </si>
  <si>
    <t>RPR as a % of C</t>
  </si>
  <si>
    <t>C&gt;$500K</t>
  </si>
  <si>
    <t>Apply RPR %</t>
  </si>
  <si>
    <t>Use Non RPR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</si>
</sst>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"/>
    <numFmt numFmtId="165" formatCode="0.0%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vertAlign val="superscript"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</fills>
  <borders count="46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double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double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mediumDashed">
        <color auto="1"/>
      </right>
      <top style="thick">
        <color auto="1"/>
      </top>
      <bottom style="thick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Dashed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mediumDashed">
        <color auto="1"/>
      </right>
      <top style="thin">
        <color auto="1"/>
      </top>
      <bottom style="thick">
        <color auto="1"/>
      </bottom>
      <diagonal/>
    </border>
    <border>
      <left style="mediumDashed">
        <color auto="1"/>
      </left>
      <right style="mediumDashed">
        <color auto="1"/>
      </right>
      <top style="thick">
        <color auto="1"/>
      </top>
      <bottom style="thick">
        <color auto="1"/>
      </bottom>
      <diagonal/>
    </border>
    <border>
      <left style="mediumDashed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mediumDash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Dashed">
        <color auto="1"/>
      </left>
      <right style="thin">
        <color auto="1"/>
      </right>
      <top/>
      <bottom style="thin">
        <color auto="1"/>
      </bottom>
      <diagonal/>
    </border>
    <border>
      <left style="mediumDashed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mediumDashed">
        <color auto="1"/>
      </left>
      <right style="mediumDashed">
        <color auto="1"/>
      </right>
      <top/>
      <bottom style="thin">
        <color auto="1"/>
      </bottom>
      <diagonal/>
    </border>
    <border>
      <left style="mediumDashed">
        <color auto="1"/>
      </left>
      <right style="mediumDashed">
        <color auto="1"/>
      </right>
      <top style="thin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02">
    <xf numFmtId="0" fontId="0" fillId="0" borderId="0" xfId="0"/>
    <xf numFmtId="164" fontId="0" fillId="0" borderId="0" xfId="0" applyNumberFormat="1"/>
    <xf numFmtId="10" fontId="0" fillId="0" borderId="0" xfId="0" applyNumberFormat="1"/>
    <xf numFmtId="0" fontId="0" fillId="0" borderId="0" xfId="0" applyAlignment="1">
      <alignment horizontal="center"/>
    </xf>
    <xf numFmtId="14" fontId="0" fillId="0" borderId="1" xfId="0" applyNumberFormat="1" applyBorder="1"/>
    <xf numFmtId="164" fontId="0" fillId="0" borderId="2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0" fontId="0" fillId="0" borderId="11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0" fontId="0" fillId="0" borderId="20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6" xfId="0" applyNumberFormat="1" applyBorder="1" applyAlignment="1">
      <alignment horizontal="center"/>
    </xf>
    <xf numFmtId="1" fontId="0" fillId="0" borderId="7" xfId="0" applyNumberFormat="1" applyBorder="1" applyAlignment="1">
      <alignment horizontal="center"/>
    </xf>
    <xf numFmtId="10" fontId="0" fillId="0" borderId="4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0" fontId="0" fillId="0" borderId="25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10" fontId="0" fillId="0" borderId="28" xfId="0" applyNumberFormat="1" applyBorder="1" applyAlignment="1">
      <alignment horizontal="center"/>
    </xf>
    <xf numFmtId="10" fontId="0" fillId="0" borderId="21" xfId="0" applyNumberFormat="1" applyBorder="1" applyAlignment="1">
      <alignment horizontal="center"/>
    </xf>
    <xf numFmtId="164" fontId="0" fillId="0" borderId="31" xfId="0" applyNumberFormat="1" applyBorder="1" applyAlignment="1">
      <alignment horizontal="center"/>
    </xf>
    <xf numFmtId="164" fontId="0" fillId="0" borderId="33" xfId="0" applyNumberFormat="1" applyBorder="1" applyAlignment="1">
      <alignment horizontal="center"/>
    </xf>
    <xf numFmtId="164" fontId="0" fillId="0" borderId="36" xfId="0" applyNumberFormat="1" applyBorder="1" applyAlignment="1">
      <alignment horizontal="center"/>
    </xf>
    <xf numFmtId="164" fontId="0" fillId="0" borderId="37" xfId="0" applyNumberFormat="1" applyBorder="1" applyAlignment="1">
      <alignment horizontal="center"/>
    </xf>
    <xf numFmtId="10" fontId="0" fillId="0" borderId="38" xfId="0" applyNumberFormat="1" applyBorder="1" applyAlignment="1">
      <alignment horizontal="center"/>
    </xf>
    <xf numFmtId="10" fontId="0" fillId="0" borderId="39" xfId="0" applyNumberFormat="1" applyBorder="1" applyAlignment="1">
      <alignment horizontal="center"/>
    </xf>
    <xf numFmtId="164" fontId="0" fillId="2" borderId="0" xfId="0" applyNumberFormat="1" applyFill="1"/>
    <xf numFmtId="0" fontId="0" fillId="2" borderId="0" xfId="0" applyFill="1"/>
    <xf numFmtId="164" fontId="0" fillId="2" borderId="31" xfId="0" applyNumberFormat="1" applyFill="1" applyBorder="1" applyAlignment="1">
      <alignment horizontal="center"/>
    </xf>
    <xf numFmtId="10" fontId="0" fillId="2" borderId="25" xfId="0" applyNumberFormat="1" applyFill="1" applyBorder="1" applyAlignment="1">
      <alignment horizontal="center"/>
    </xf>
    <xf numFmtId="164" fontId="0" fillId="2" borderId="32" xfId="0" applyNumberFormat="1" applyFill="1" applyBorder="1" applyAlignment="1">
      <alignment horizontal="center"/>
    </xf>
    <xf numFmtId="164" fontId="0" fillId="2" borderId="33" xfId="0" applyNumberFormat="1" applyFill="1" applyBorder="1" applyAlignment="1">
      <alignment horizontal="center"/>
    </xf>
    <xf numFmtId="10" fontId="0" fillId="2" borderId="28" xfId="0" applyNumberFormat="1" applyFill="1" applyBorder="1" applyAlignment="1">
      <alignment horizontal="center"/>
    </xf>
    <xf numFmtId="10" fontId="0" fillId="2" borderId="0" xfId="0" applyNumberFormat="1" applyFill="1"/>
    <xf numFmtId="164" fontId="0" fillId="0" borderId="0" xfId="0" applyNumberFormat="1" applyAlignment="1">
      <alignment horizontal="center"/>
    </xf>
    <xf numFmtId="0" fontId="0" fillId="3" borderId="0" xfId="0" applyFill="1"/>
    <xf numFmtId="14" fontId="0" fillId="3" borderId="1" xfId="0" applyNumberFormat="1" applyFill="1" applyBorder="1"/>
    <xf numFmtId="1" fontId="0" fillId="3" borderId="6" xfId="0" applyNumberFormat="1" applyFill="1" applyBorder="1" applyAlignment="1">
      <alignment horizontal="center"/>
    </xf>
    <xf numFmtId="164" fontId="0" fillId="3" borderId="2" xfId="0" applyNumberFormat="1" applyFill="1" applyBorder="1" applyAlignment="1">
      <alignment horizontal="center"/>
    </xf>
    <xf numFmtId="164" fontId="0" fillId="3" borderId="12" xfId="0" applyNumberFormat="1" applyFill="1" applyBorder="1" applyAlignment="1">
      <alignment horizontal="center"/>
    </xf>
    <xf numFmtId="164" fontId="0" fillId="3" borderId="24" xfId="0" applyNumberFormat="1" applyFill="1" applyBorder="1" applyAlignment="1">
      <alignment horizontal="center"/>
    </xf>
    <xf numFmtId="10" fontId="0" fillId="3" borderId="11" xfId="0" applyNumberFormat="1" applyFill="1" applyBorder="1" applyAlignment="1">
      <alignment horizontal="center"/>
    </xf>
    <xf numFmtId="10" fontId="0" fillId="3" borderId="25" xfId="0" applyNumberFormat="1" applyFill="1" applyBorder="1" applyAlignment="1">
      <alignment horizontal="center"/>
    </xf>
    <xf numFmtId="164" fontId="0" fillId="3" borderId="6" xfId="0" applyNumberFormat="1" applyFill="1" applyBorder="1" applyAlignment="1">
      <alignment horizontal="center"/>
    </xf>
    <xf numFmtId="10" fontId="0" fillId="3" borderId="20" xfId="0" applyNumberFormat="1" applyFill="1" applyBorder="1" applyAlignment="1">
      <alignment horizontal="center"/>
    </xf>
    <xf numFmtId="164" fontId="0" fillId="3" borderId="31" xfId="0" applyNumberFormat="1" applyFill="1" applyBorder="1" applyAlignment="1">
      <alignment horizontal="center"/>
    </xf>
    <xf numFmtId="10" fontId="0" fillId="3" borderId="38" xfId="0" applyNumberFormat="1" applyFill="1" applyBorder="1" applyAlignment="1">
      <alignment horizontal="center"/>
    </xf>
    <xf numFmtId="164" fontId="0" fillId="3" borderId="35" xfId="0" applyNumberFormat="1" applyFill="1" applyBorder="1" applyAlignment="1">
      <alignment horizontal="center"/>
    </xf>
    <xf numFmtId="164" fontId="0" fillId="3" borderId="14" xfId="0" applyNumberFormat="1" applyFill="1" applyBorder="1" applyAlignment="1">
      <alignment horizontal="center"/>
    </xf>
    <xf numFmtId="0" fontId="0" fillId="3" borderId="0" xfId="0" applyFill="1" applyAlignment="1">
      <alignment horizontal="center"/>
    </xf>
    <xf numFmtId="10" fontId="0" fillId="3" borderId="0" xfId="0" applyNumberFormat="1" applyFill="1"/>
    <xf numFmtId="164" fontId="0" fillId="3" borderId="8" xfId="0" applyNumberFormat="1" applyFill="1" applyBorder="1" applyAlignment="1">
      <alignment horizontal="center"/>
    </xf>
    <xf numFmtId="164" fontId="0" fillId="3" borderId="36" xfId="0" applyNumberFormat="1" applyFill="1" applyBorder="1" applyAlignment="1">
      <alignment horizontal="center"/>
    </xf>
    <xf numFmtId="14" fontId="0" fillId="3" borderId="10" xfId="0" applyNumberFormat="1" applyFill="1" applyBorder="1"/>
    <xf numFmtId="1" fontId="0" fillId="3" borderId="13" xfId="0" applyNumberFormat="1" applyFill="1" applyBorder="1" applyAlignment="1">
      <alignment horizontal="center"/>
    </xf>
    <xf numFmtId="164" fontId="0" fillId="3" borderId="11" xfId="0" applyNumberFormat="1" applyFill="1" applyBorder="1" applyAlignment="1">
      <alignment horizontal="center"/>
    </xf>
    <xf numFmtId="164" fontId="0" fillId="3" borderId="26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164" fontId="0" fillId="3" borderId="32" xfId="0" applyNumberFormat="1" applyFill="1" applyBorder="1" applyAlignment="1">
      <alignment horizontal="center"/>
    </xf>
    <xf numFmtId="164" fontId="0" fillId="3" borderId="0" xfId="0" applyNumberFormat="1" applyFill="1" applyAlignment="1">
      <alignment horizontal="center"/>
    </xf>
    <xf numFmtId="10" fontId="0" fillId="0" borderId="0" xfId="0" applyNumberFormat="1" applyAlignment="1">
      <alignment horizontal="center"/>
    </xf>
    <xf numFmtId="164" fontId="0" fillId="2" borderId="0" xfId="0" applyNumberFormat="1" applyFill="1" applyAlignment="1">
      <alignment horizontal="center"/>
    </xf>
    <xf numFmtId="10" fontId="0" fillId="2" borderId="0" xfId="0" applyNumberFormat="1" applyFill="1" applyAlignment="1">
      <alignment horizontal="center"/>
    </xf>
    <xf numFmtId="14" fontId="0" fillId="0" borderId="3" xfId="0" applyNumberFormat="1" applyBorder="1"/>
    <xf numFmtId="14" fontId="0" fillId="0" borderId="0" xfId="0" applyNumberFormat="1"/>
    <xf numFmtId="14" fontId="0" fillId="0" borderId="0" xfId="0" quotePrefix="1" applyNumberFormat="1"/>
    <xf numFmtId="14" fontId="0" fillId="0" borderId="1" xfId="0" quotePrefix="1" applyNumberFormat="1" applyBorder="1"/>
    <xf numFmtId="14" fontId="0" fillId="3" borderId="1" xfId="0" quotePrefix="1" applyNumberFormat="1" applyFill="1" applyBorder="1"/>
    <xf numFmtId="165" fontId="0" fillId="3" borderId="11" xfId="0" applyNumberFormat="1" applyFill="1" applyBorder="1" applyAlignment="1">
      <alignment horizontal="center"/>
    </xf>
    <xf numFmtId="0" fontId="1" fillId="4" borderId="0" xfId="0" applyFont="1" applyFill="1"/>
    <xf numFmtId="0" fontId="0" fillId="4" borderId="0" xfId="0" applyFill="1"/>
    <xf numFmtId="0" fontId="2" fillId="4" borderId="15" xfId="0" applyFont="1" applyFill="1" applyBorder="1" applyAlignment="1">
      <alignment wrapText="1"/>
    </xf>
    <xf numFmtId="1" fontId="2" fillId="4" borderId="17" xfId="0" applyNumberFormat="1" applyFont="1" applyFill="1" applyBorder="1" applyAlignment="1">
      <alignment horizontal="left" wrapText="1"/>
    </xf>
    <xf numFmtId="164" fontId="2" fillId="4" borderId="16" xfId="0" applyNumberFormat="1" applyFont="1" applyFill="1" applyBorder="1" applyAlignment="1">
      <alignment wrapText="1"/>
    </xf>
    <xf numFmtId="164" fontId="2" fillId="4" borderId="5" xfId="0" applyNumberFormat="1" applyFont="1" applyFill="1" applyBorder="1" applyAlignment="1">
      <alignment wrapText="1"/>
    </xf>
    <xf numFmtId="164" fontId="2" fillId="4" borderId="22" xfId="0" applyNumberFormat="1" applyFont="1" applyFill="1" applyBorder="1" applyAlignment="1">
      <alignment wrapText="1"/>
    </xf>
    <xf numFmtId="0" fontId="2" fillId="4" borderId="16" xfId="0" applyFont="1" applyFill="1" applyBorder="1" applyAlignment="1">
      <alignment wrapText="1"/>
    </xf>
    <xf numFmtId="0" fontId="2" fillId="4" borderId="23" xfId="0" applyFont="1" applyFill="1" applyBorder="1" applyAlignment="1">
      <alignment wrapText="1"/>
    </xf>
    <xf numFmtId="164" fontId="2" fillId="4" borderId="17" xfId="0" applyNumberFormat="1" applyFont="1" applyFill="1" applyBorder="1" applyAlignment="1">
      <alignment wrapText="1"/>
    </xf>
    <xf numFmtId="0" fontId="2" fillId="4" borderId="19" xfId="0" applyFont="1" applyFill="1" applyBorder="1" applyAlignment="1">
      <alignment wrapText="1"/>
    </xf>
    <xf numFmtId="164" fontId="2" fillId="4" borderId="30" xfId="0" applyNumberFormat="1" applyFont="1" applyFill="1" applyBorder="1" applyAlignment="1">
      <alignment wrapText="1"/>
    </xf>
    <xf numFmtId="0" fontId="2" fillId="4" borderId="29" xfId="0" applyFont="1" applyFill="1" applyBorder="1" applyAlignment="1">
      <alignment wrapText="1"/>
    </xf>
    <xf numFmtId="164" fontId="2" fillId="4" borderId="34" xfId="0" applyNumberFormat="1" applyFont="1" applyFill="1" applyBorder="1" applyAlignment="1">
      <alignment wrapText="1"/>
    </xf>
    <xf numFmtId="164" fontId="2" fillId="4" borderId="18" xfId="0" applyNumberFormat="1" applyFont="1" applyFill="1" applyBorder="1" applyAlignment="1">
      <alignment wrapText="1"/>
    </xf>
    <xf numFmtId="164" fontId="2" fillId="4" borderId="0" xfId="0" applyNumberFormat="1" applyFont="1" applyFill="1" applyAlignment="1">
      <alignment wrapText="1"/>
    </xf>
    <xf numFmtId="164" fontId="2" fillId="2" borderId="30" xfId="0" applyNumberFormat="1" applyFont="1" applyFill="1" applyBorder="1" applyAlignment="1">
      <alignment wrapText="1"/>
    </xf>
    <xf numFmtId="0" fontId="2" fillId="2" borderId="23" xfId="0" applyFont="1" applyFill="1" applyBorder="1" applyAlignment="1">
      <alignment wrapText="1"/>
    </xf>
    <xf numFmtId="10" fontId="0" fillId="5" borderId="25" xfId="0" applyNumberFormat="1" applyFill="1" applyBorder="1" applyAlignment="1">
      <alignment horizontal="center"/>
    </xf>
    <xf numFmtId="10" fontId="0" fillId="2" borderId="40" xfId="0" applyNumberFormat="1" applyFill="1" applyBorder="1" applyAlignment="1">
      <alignment horizontal="center"/>
    </xf>
    <xf numFmtId="10" fontId="0" fillId="2" borderId="44" xfId="0" applyNumberFormat="1" applyFill="1" applyBorder="1" applyAlignment="1">
      <alignment horizontal="center"/>
    </xf>
    <xf numFmtId="10" fontId="0" fillId="2" borderId="45" xfId="0" applyNumberFormat="1" applyFill="1" applyBorder="1" applyAlignment="1">
      <alignment horizontal="center"/>
    </xf>
    <xf numFmtId="9" fontId="0" fillId="0" borderId="0" xfId="0" applyNumberFormat="1"/>
    <xf numFmtId="0" fontId="1" fillId="0" borderId="0" xfId="0" applyFont="1"/>
    <xf numFmtId="9" fontId="1" fillId="0" borderId="0" xfId="0" applyNumberFormat="1" applyFont="1"/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RPR as a % of Construction Cost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'Raw Data'!$M$4:$M$36</c:f>
              <c:numCache>
                <c:formatCode>0.00%</c:formatCode>
                <c:ptCount val="33"/>
                <c:pt idx="0">
                  <c:v>0.28854489164086689</c:v>
                </c:pt>
                <c:pt idx="1">
                  <c:v>0.37768240343347642</c:v>
                </c:pt>
                <c:pt idx="2">
                  <c:v>0.57425742574257421</c:v>
                </c:pt>
                <c:pt idx="3">
                  <c:v>0.40740740740740738</c:v>
                </c:pt>
                <c:pt idx="4">
                  <c:v>0.48537230754012417</c:v>
                </c:pt>
                <c:pt idx="5">
                  <c:v>0.55383705353259449</c:v>
                </c:pt>
                <c:pt idx="6">
                  <c:v>0.32744202597710692</c:v>
                </c:pt>
                <c:pt idx="7">
                  <c:v>0.31405772495755518</c:v>
                </c:pt>
                <c:pt idx="8">
                  <c:v>0.47604790419161674</c:v>
                </c:pt>
                <c:pt idx="9">
                  <c:v>0.60606060606060608</c:v>
                </c:pt>
                <c:pt idx="10">
                  <c:v>0.68569553805774275</c:v>
                </c:pt>
                <c:pt idx="11">
                  <c:v>0.53133797238504943</c:v>
                </c:pt>
                <c:pt idx="12">
                  <c:v>0.53288643681623893</c:v>
                </c:pt>
                <c:pt idx="13">
                  <c:v>0.53281135956472692</c:v>
                </c:pt>
                <c:pt idx="14">
                  <c:v>0.42513576415826221</c:v>
                </c:pt>
                <c:pt idx="15">
                  <c:v>0.55381427378307257</c:v>
                </c:pt>
                <c:pt idx="16">
                  <c:v>0.52296016642268284</c:v>
                </c:pt>
                <c:pt idx="17">
                  <c:v>0.36902234354463653</c:v>
                </c:pt>
                <c:pt idx="18">
                  <c:v>0.5753494715308558</c:v>
                </c:pt>
                <c:pt idx="19">
                  <c:v>0.5706201601694354</c:v>
                </c:pt>
                <c:pt idx="20">
                  <c:v>0.49169509120569477</c:v>
                </c:pt>
                <c:pt idx="21">
                  <c:v>0.63565891472868219</c:v>
                </c:pt>
                <c:pt idx="22">
                  <c:v>0.60228844461209607</c:v>
                </c:pt>
                <c:pt idx="23">
                  <c:v>0.54709766884546251</c:v>
                </c:pt>
                <c:pt idx="24">
                  <c:v>0.6331030818278427</c:v>
                </c:pt>
                <c:pt idx="25">
                  <c:v>0.44483985765124556</c:v>
                </c:pt>
                <c:pt idx="26">
                  <c:v>0.50007998720204772</c:v>
                </c:pt>
                <c:pt idx="27">
                  <c:v>0.60892827286406959</c:v>
                </c:pt>
                <c:pt idx="28">
                  <c:v>0.52154684614926439</c:v>
                </c:pt>
                <c:pt idx="29">
                  <c:v>0.4488864903759669</c:v>
                </c:pt>
                <c:pt idx="30">
                  <c:v>0.49571458905101812</c:v>
                </c:pt>
                <c:pt idx="31">
                  <c:v>0.53062114826044859</c:v>
                </c:pt>
                <c:pt idx="32">
                  <c:v>0.47955096214493587</c:v>
                </c:pt>
              </c:numCache>
            </c:numRef>
          </c:xVal>
          <c:yVal>
            <c:numRef>
              <c:f>'Raw Data'!$D$4:$D$36</c:f>
              <c:numCache>
                <c:formatCode>"$"#,##0</c:formatCode>
                <c:ptCount val="33"/>
                <c:pt idx="0">
                  <c:v>82000</c:v>
                </c:pt>
                <c:pt idx="1">
                  <c:v>147950</c:v>
                </c:pt>
                <c:pt idx="2">
                  <c:v>280000</c:v>
                </c:pt>
                <c:pt idx="3">
                  <c:v>281918</c:v>
                </c:pt>
                <c:pt idx="4">
                  <c:v>304500</c:v>
                </c:pt>
                <c:pt idx="5">
                  <c:v>447271</c:v>
                </c:pt>
                <c:pt idx="6">
                  <c:v>460000</c:v>
                </c:pt>
                <c:pt idx="7">
                  <c:v>462462</c:v>
                </c:pt>
                <c:pt idx="8">
                  <c:v>497303</c:v>
                </c:pt>
                <c:pt idx="9">
                  <c:v>534235</c:v>
                </c:pt>
                <c:pt idx="10">
                  <c:v>537980</c:v>
                </c:pt>
                <c:pt idx="11">
                  <c:v>561706</c:v>
                </c:pt>
                <c:pt idx="12">
                  <c:v>632507.46</c:v>
                </c:pt>
                <c:pt idx="13">
                  <c:v>645750</c:v>
                </c:pt>
                <c:pt idx="14">
                  <c:v>670000</c:v>
                </c:pt>
                <c:pt idx="15">
                  <c:v>700000</c:v>
                </c:pt>
                <c:pt idx="16">
                  <c:v>735000</c:v>
                </c:pt>
                <c:pt idx="17">
                  <c:v>755650</c:v>
                </c:pt>
                <c:pt idx="18">
                  <c:v>1034570</c:v>
                </c:pt>
                <c:pt idx="19">
                  <c:v>1225000</c:v>
                </c:pt>
                <c:pt idx="20">
                  <c:v>1235000</c:v>
                </c:pt>
                <c:pt idx="21">
                  <c:v>1394195.98</c:v>
                </c:pt>
                <c:pt idx="22">
                  <c:v>1449027.62</c:v>
                </c:pt>
                <c:pt idx="23">
                  <c:v>1942150</c:v>
                </c:pt>
                <c:pt idx="24">
                  <c:v>1980404.5</c:v>
                </c:pt>
                <c:pt idx="25">
                  <c:v>2460000</c:v>
                </c:pt>
                <c:pt idx="26">
                  <c:v>2535000</c:v>
                </c:pt>
                <c:pt idx="27">
                  <c:v>2560006</c:v>
                </c:pt>
                <c:pt idx="28">
                  <c:v>2568000</c:v>
                </c:pt>
                <c:pt idx="29">
                  <c:v>2825590</c:v>
                </c:pt>
                <c:pt idx="30">
                  <c:v>3170000</c:v>
                </c:pt>
                <c:pt idx="31">
                  <c:v>6174000</c:v>
                </c:pt>
                <c:pt idx="32">
                  <c:v>6450000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B25-4373-BF33-9042DEF9BE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7510360"/>
        <c:axId val="627506400"/>
      </c:scatterChart>
      <c:valAx>
        <c:axId val="6275103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7506400"/>
        <c:crosses val="autoZero"/>
        <c:crossBetween val="midCat"/>
      </c:valAx>
      <c:valAx>
        <c:axId val="627506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75103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RPR</a:t>
            </a:r>
            <a:r>
              <a:rPr lang="en-US" baseline="0"/>
              <a:t> as a % of Construction Cost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'Raw Data'!$D$4:$D$36</c:f>
              <c:numCache>
                <c:formatCode>"$"#,##0</c:formatCode>
                <c:ptCount val="33"/>
                <c:pt idx="0">
                  <c:v>82000</c:v>
                </c:pt>
                <c:pt idx="1">
                  <c:v>147950</c:v>
                </c:pt>
                <c:pt idx="2">
                  <c:v>280000</c:v>
                </c:pt>
                <c:pt idx="3">
                  <c:v>281918</c:v>
                </c:pt>
                <c:pt idx="4">
                  <c:v>304500</c:v>
                </c:pt>
                <c:pt idx="5">
                  <c:v>447271</c:v>
                </c:pt>
                <c:pt idx="6">
                  <c:v>460000</c:v>
                </c:pt>
                <c:pt idx="7">
                  <c:v>462462</c:v>
                </c:pt>
                <c:pt idx="8">
                  <c:v>497303</c:v>
                </c:pt>
                <c:pt idx="9">
                  <c:v>534235</c:v>
                </c:pt>
                <c:pt idx="10">
                  <c:v>537980</c:v>
                </c:pt>
                <c:pt idx="11">
                  <c:v>561706</c:v>
                </c:pt>
                <c:pt idx="12">
                  <c:v>632507.46</c:v>
                </c:pt>
                <c:pt idx="13">
                  <c:v>645750</c:v>
                </c:pt>
                <c:pt idx="14">
                  <c:v>670000</c:v>
                </c:pt>
                <c:pt idx="15">
                  <c:v>700000</c:v>
                </c:pt>
                <c:pt idx="16">
                  <c:v>735000</c:v>
                </c:pt>
                <c:pt idx="17">
                  <c:v>755650</c:v>
                </c:pt>
                <c:pt idx="18">
                  <c:v>1034570</c:v>
                </c:pt>
                <c:pt idx="19">
                  <c:v>1225000</c:v>
                </c:pt>
                <c:pt idx="20">
                  <c:v>1235000</c:v>
                </c:pt>
                <c:pt idx="21">
                  <c:v>1394195.98</c:v>
                </c:pt>
                <c:pt idx="22">
                  <c:v>1449027.62</c:v>
                </c:pt>
                <c:pt idx="23">
                  <c:v>1942150</c:v>
                </c:pt>
                <c:pt idx="24">
                  <c:v>1980404.5</c:v>
                </c:pt>
                <c:pt idx="25">
                  <c:v>2460000</c:v>
                </c:pt>
                <c:pt idx="26">
                  <c:v>2535000</c:v>
                </c:pt>
                <c:pt idx="27">
                  <c:v>2560006</c:v>
                </c:pt>
                <c:pt idx="28">
                  <c:v>2568000</c:v>
                </c:pt>
                <c:pt idx="29">
                  <c:v>2825590</c:v>
                </c:pt>
                <c:pt idx="30">
                  <c:v>3170000</c:v>
                </c:pt>
                <c:pt idx="31">
                  <c:v>6174000</c:v>
                </c:pt>
                <c:pt idx="32">
                  <c:v>6450000</c:v>
                </c:pt>
              </c:numCache>
            </c:numRef>
          </c:xVal>
          <c:yVal>
            <c:numRef>
              <c:f>'Raw Data'!$M$4:$M$36</c:f>
              <c:numCache>
                <c:formatCode>0.00%</c:formatCode>
                <c:ptCount val="33"/>
                <c:pt idx="0">
                  <c:v>0.28854489164086689</c:v>
                </c:pt>
                <c:pt idx="1">
                  <c:v>0.37768240343347642</c:v>
                </c:pt>
                <c:pt idx="2">
                  <c:v>0.57425742574257421</c:v>
                </c:pt>
                <c:pt idx="3">
                  <c:v>0.40740740740740738</c:v>
                </c:pt>
                <c:pt idx="4">
                  <c:v>0.48537230754012417</c:v>
                </c:pt>
                <c:pt idx="5">
                  <c:v>0.55383705353259449</c:v>
                </c:pt>
                <c:pt idx="6">
                  <c:v>0.32744202597710692</c:v>
                </c:pt>
                <c:pt idx="7">
                  <c:v>0.31405772495755518</c:v>
                </c:pt>
                <c:pt idx="8">
                  <c:v>0.47604790419161674</c:v>
                </c:pt>
                <c:pt idx="9">
                  <c:v>0.60606060606060608</c:v>
                </c:pt>
                <c:pt idx="10">
                  <c:v>0.68569553805774275</c:v>
                </c:pt>
                <c:pt idx="11">
                  <c:v>0.53133797238504943</c:v>
                </c:pt>
                <c:pt idx="12">
                  <c:v>0.53288643681623893</c:v>
                </c:pt>
                <c:pt idx="13">
                  <c:v>0.53281135956472692</c:v>
                </c:pt>
                <c:pt idx="14">
                  <c:v>0.42513576415826221</c:v>
                </c:pt>
                <c:pt idx="15">
                  <c:v>0.55381427378307257</c:v>
                </c:pt>
                <c:pt idx="16">
                  <c:v>0.52296016642268284</c:v>
                </c:pt>
                <c:pt idx="17">
                  <c:v>0.36902234354463653</c:v>
                </c:pt>
                <c:pt idx="18">
                  <c:v>0.5753494715308558</c:v>
                </c:pt>
                <c:pt idx="19">
                  <c:v>0.5706201601694354</c:v>
                </c:pt>
                <c:pt idx="20">
                  <c:v>0.49169509120569477</c:v>
                </c:pt>
                <c:pt idx="21">
                  <c:v>0.63565891472868219</c:v>
                </c:pt>
                <c:pt idx="22">
                  <c:v>0.60228844461209607</c:v>
                </c:pt>
                <c:pt idx="23">
                  <c:v>0.54709766884546251</c:v>
                </c:pt>
                <c:pt idx="24">
                  <c:v>0.6331030818278427</c:v>
                </c:pt>
                <c:pt idx="25">
                  <c:v>0.44483985765124556</c:v>
                </c:pt>
                <c:pt idx="26">
                  <c:v>0.50007998720204772</c:v>
                </c:pt>
                <c:pt idx="27">
                  <c:v>0.60892827286406959</c:v>
                </c:pt>
                <c:pt idx="28">
                  <c:v>0.52154684614926439</c:v>
                </c:pt>
                <c:pt idx="29">
                  <c:v>0.4488864903759669</c:v>
                </c:pt>
                <c:pt idx="30">
                  <c:v>0.49571458905101812</c:v>
                </c:pt>
                <c:pt idx="31">
                  <c:v>0.53062114826044859</c:v>
                </c:pt>
                <c:pt idx="32">
                  <c:v>0.47955096214493587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6EC-40C5-8063-5E2BA5AA33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56194376"/>
        <c:axId val="656196176"/>
      </c:scatterChart>
      <c:valAx>
        <c:axId val="656194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6196176"/>
        <c:crosses val="autoZero"/>
        <c:crossBetween val="midCat"/>
      </c:valAx>
      <c:valAx>
        <c:axId val="656196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61943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525780</xdr:colOff>
      <xdr:row>48</xdr:row>
      <xdr:rowOff>38100</xdr:rowOff>
    </xdr:from>
    <xdr:to>
      <xdr:col>9</xdr:col>
      <xdr:colOff>464820</xdr:colOff>
      <xdr:row>67</xdr:row>
      <xdr:rowOff>30480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50F3E4B-119E-6940-F7D5-3D6C7031544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114300</xdr:colOff>
      <xdr:row>48</xdr:row>
      <xdr:rowOff>91440</xdr:rowOff>
    </xdr:from>
    <xdr:to>
      <xdr:col>20</xdr:col>
      <xdr:colOff>281940</xdr:colOff>
      <xdr:row>67</xdr:row>
      <xdr:rowOff>38100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3157386-B833-D400-ADB8-7BCBEDE50F1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3DD03-9E1D-4EE8-A6D7-C0666F9A1CD3}">
  <dimension ref="A1:V47"/>
  <sheetViews>
    <sheetView tabSelected="1" topLeftCell="B1" workbookViewId="0">
      <selection activeCell="L40" sqref="L40"/>
    </sheetView>
  </sheetViews>
  <sheetFormatPr defaultRowHeight="14.4" x14ac:dyDescent="0.3"/>
  <cols>
    <col min="1" max="1" width="28.5546875" customWidth="1"/>
    <col min="2" max="2" width="13.21875" bestFit="1" customWidth="1"/>
    <col min="3" max="3" width="8.77734375" style="14" customWidth="1"/>
    <col min="4" max="4" width="16.21875" style="1" bestFit="1" customWidth="1"/>
    <col min="5" max="5" width="13.5546875" style="1" bestFit="1" customWidth="1"/>
    <col min="6" max="6" width="10.5546875" style="1" bestFit="1" customWidth="1"/>
    <col min="7" max="8" width="8.21875" customWidth="1"/>
    <col min="9" max="9" width="10.77734375" style="1" customWidth="1"/>
    <col min="10" max="11" width="8.44140625" customWidth="1"/>
    <col min="12" max="12" width="11.77734375" style="1" customWidth="1"/>
    <col min="13" max="13" width="8.21875" customWidth="1"/>
    <col min="14" max="14" width="3.77734375" customWidth="1"/>
    <col min="15" max="15" width="13.77734375" style="1" customWidth="1"/>
    <col min="16" max="16" width="8.21875" customWidth="1"/>
    <col min="17" max="17" width="14.77734375" style="1" bestFit="1" customWidth="1"/>
    <col min="18" max="18" width="7.5546875" customWidth="1"/>
    <col min="19" max="19" width="8.5546875" style="1" customWidth="1"/>
  </cols>
  <sheetData>
    <row r="1" spans="1:22" x14ac:dyDescent="0.3">
      <c r="A1" t="s">
        <v>16</v>
      </c>
    </row>
    <row r="2" spans="1:22" ht="15" thickBot="1" x14ac:dyDescent="0.35"/>
    <row r="3" spans="1:22" ht="34.5" customHeight="1" thickTop="1" thickBot="1" x14ac:dyDescent="0.35">
      <c r="A3" s="72" t="s">
        <v>0</v>
      </c>
      <c r="B3" s="74" t="s">
        <v>6</v>
      </c>
      <c r="C3" s="75" t="s">
        <v>48</v>
      </c>
      <c r="D3" s="76" t="s">
        <v>1</v>
      </c>
      <c r="E3" s="77" t="s">
        <v>2</v>
      </c>
      <c r="F3" s="78" t="s">
        <v>11</v>
      </c>
      <c r="G3" s="79" t="s">
        <v>8</v>
      </c>
      <c r="H3" s="80" t="s">
        <v>47</v>
      </c>
      <c r="I3" s="81" t="s">
        <v>3</v>
      </c>
      <c r="J3" s="79" t="s">
        <v>8</v>
      </c>
      <c r="K3" s="82" t="s">
        <v>47</v>
      </c>
      <c r="L3" s="88" t="s">
        <v>4</v>
      </c>
      <c r="M3" s="89" t="s">
        <v>8</v>
      </c>
      <c r="N3" s="84"/>
      <c r="O3" s="81" t="s">
        <v>7</v>
      </c>
      <c r="P3" s="82" t="s">
        <v>8</v>
      </c>
      <c r="Q3" s="83" t="s">
        <v>5</v>
      </c>
      <c r="R3" s="80" t="s">
        <v>8</v>
      </c>
      <c r="S3" s="85" t="s">
        <v>39</v>
      </c>
      <c r="T3" s="86" t="s">
        <v>9</v>
      </c>
      <c r="U3" s="87"/>
      <c r="V3" s="73"/>
    </row>
    <row r="4" spans="1:22" s="38" customFormat="1" ht="15" thickTop="1" x14ac:dyDescent="0.3">
      <c r="A4" s="38" t="s">
        <v>42</v>
      </c>
      <c r="B4" s="39">
        <v>43388</v>
      </c>
      <c r="C4" s="40">
        <v>60</v>
      </c>
      <c r="D4" s="41">
        <v>82000</v>
      </c>
      <c r="E4" s="42">
        <f t="shared" ref="E4:E18" si="0">(D4*0.1265)+3575</f>
        <v>13948</v>
      </c>
      <c r="F4" s="43">
        <v>1940</v>
      </c>
      <c r="G4" s="44">
        <f t="shared" ref="G4:G18" si="1">F4/$T4</f>
        <v>0.24024767801857586</v>
      </c>
      <c r="H4" s="45">
        <f t="shared" ref="H4:H36" si="2">F4/D4</f>
        <v>2.3658536585365854E-2</v>
      </c>
      <c r="I4" s="46">
        <v>3805</v>
      </c>
      <c r="J4" s="44">
        <f t="shared" ref="J4:J18" si="3">I4/$T4</f>
        <v>0.47120743034055729</v>
      </c>
      <c r="K4" s="47">
        <f t="shared" ref="K4:K36" si="4">I4/D4</f>
        <v>4.6402439024390243E-2</v>
      </c>
      <c r="L4" s="31">
        <v>2330</v>
      </c>
      <c r="M4" s="90">
        <f t="shared" ref="M4:M18" si="5">L4/$T4</f>
        <v>0.28854489164086689</v>
      </c>
      <c r="N4" s="49"/>
      <c r="O4" s="46">
        <v>0</v>
      </c>
      <c r="P4" s="47">
        <f t="shared" ref="P4:P30" si="6">O4/$T4</f>
        <v>0</v>
      </c>
      <c r="Q4" s="48">
        <v>0</v>
      </c>
      <c r="R4" s="45">
        <f t="shared" ref="R4:R30" si="7">Q4/$T4</f>
        <v>0</v>
      </c>
      <c r="S4" s="50" t="s">
        <v>49</v>
      </c>
      <c r="T4" s="51">
        <f t="shared" ref="T4:T36" si="8">Q4+O4+L4+I4+F4</f>
        <v>8075</v>
      </c>
      <c r="U4" s="52"/>
      <c r="V4" s="53">
        <f t="shared" ref="V4:V36" si="9">G4+J4+M4+P4+R4</f>
        <v>1</v>
      </c>
    </row>
    <row r="5" spans="1:22" s="38" customFormat="1" x14ac:dyDescent="0.3">
      <c r="A5" s="38" t="s">
        <v>12</v>
      </c>
      <c r="B5" s="39">
        <v>43616</v>
      </c>
      <c r="C5" s="40">
        <v>89</v>
      </c>
      <c r="D5" s="41">
        <v>147950</v>
      </c>
      <c r="E5" s="54">
        <f t="shared" si="0"/>
        <v>22290.674999999999</v>
      </c>
      <c r="F5" s="43">
        <v>2300</v>
      </c>
      <c r="G5" s="44">
        <f t="shared" si="1"/>
        <v>9.8712446351931327E-2</v>
      </c>
      <c r="H5" s="45">
        <f t="shared" si="2"/>
        <v>1.554579249746536E-2</v>
      </c>
      <c r="I5" s="46">
        <v>9700</v>
      </c>
      <c r="J5" s="44">
        <f t="shared" si="3"/>
        <v>0.41630901287553645</v>
      </c>
      <c r="K5" s="47">
        <f t="shared" si="4"/>
        <v>6.5562690098006082E-2</v>
      </c>
      <c r="L5" s="31">
        <v>8800</v>
      </c>
      <c r="M5" s="90">
        <f t="shared" si="5"/>
        <v>0.37768240343347642</v>
      </c>
      <c r="N5" s="49"/>
      <c r="O5" s="46">
        <v>0</v>
      </c>
      <c r="P5" s="47">
        <f t="shared" si="6"/>
        <v>0</v>
      </c>
      <c r="Q5" s="48">
        <v>2500</v>
      </c>
      <c r="R5" s="45">
        <f t="shared" si="7"/>
        <v>0.1072961373390558</v>
      </c>
      <c r="S5" s="55">
        <f>T5-E5</f>
        <v>1009.3250000000007</v>
      </c>
      <c r="T5" s="51">
        <f t="shared" si="8"/>
        <v>23300</v>
      </c>
      <c r="U5" s="52"/>
      <c r="V5" s="53">
        <f t="shared" si="9"/>
        <v>1</v>
      </c>
    </row>
    <row r="6" spans="1:22" s="38" customFormat="1" x14ac:dyDescent="0.3">
      <c r="A6" s="38" t="s">
        <v>24</v>
      </c>
      <c r="B6" s="39">
        <v>43538</v>
      </c>
      <c r="C6" s="40" t="s">
        <v>29</v>
      </c>
      <c r="D6" s="41">
        <v>280000</v>
      </c>
      <c r="E6" s="54">
        <f t="shared" si="0"/>
        <v>38995</v>
      </c>
      <c r="F6" s="43">
        <v>2700</v>
      </c>
      <c r="G6" s="44">
        <f t="shared" si="1"/>
        <v>5.3465346534653464E-2</v>
      </c>
      <c r="H6" s="45">
        <f t="shared" si="2"/>
        <v>9.6428571428571423E-3</v>
      </c>
      <c r="I6" s="46">
        <v>7700</v>
      </c>
      <c r="J6" s="44">
        <f t="shared" si="3"/>
        <v>0.15247524752475247</v>
      </c>
      <c r="K6" s="47">
        <f t="shared" si="4"/>
        <v>2.75E-2</v>
      </c>
      <c r="L6" s="31">
        <v>29000</v>
      </c>
      <c r="M6" s="90">
        <f t="shared" si="5"/>
        <v>0.57425742574257421</v>
      </c>
      <c r="N6" s="49"/>
      <c r="O6" s="46">
        <v>0</v>
      </c>
      <c r="P6" s="47">
        <f t="shared" si="6"/>
        <v>0</v>
      </c>
      <c r="Q6" s="48">
        <v>11100</v>
      </c>
      <c r="R6" s="45">
        <f t="shared" si="7"/>
        <v>0.2198019801980198</v>
      </c>
      <c r="S6" s="55">
        <f t="shared" ref="S6:S10" si="10">T6-E6</f>
        <v>11505</v>
      </c>
      <c r="T6" s="51">
        <f t="shared" si="8"/>
        <v>50500</v>
      </c>
      <c r="U6" s="52"/>
      <c r="V6" s="53">
        <f t="shared" si="9"/>
        <v>0.99999999999999989</v>
      </c>
    </row>
    <row r="7" spans="1:22" s="38" customFormat="1" x14ac:dyDescent="0.3">
      <c r="A7" s="38" t="s">
        <v>26</v>
      </c>
      <c r="B7" s="39">
        <v>43676</v>
      </c>
      <c r="C7" s="40" t="s">
        <v>27</v>
      </c>
      <c r="D7" s="41">
        <v>281918</v>
      </c>
      <c r="E7" s="54">
        <f t="shared" si="0"/>
        <v>39237.627</v>
      </c>
      <c r="F7" s="43">
        <v>3800</v>
      </c>
      <c r="G7" s="44">
        <f t="shared" si="1"/>
        <v>9.3827160493827166E-2</v>
      </c>
      <c r="H7" s="45">
        <f t="shared" si="2"/>
        <v>1.3479096758631943E-2</v>
      </c>
      <c r="I7" s="46">
        <v>15600</v>
      </c>
      <c r="J7" s="44">
        <f t="shared" si="3"/>
        <v>0.38518518518518519</v>
      </c>
      <c r="K7" s="47">
        <f t="shared" si="4"/>
        <v>5.5335239324910079E-2</v>
      </c>
      <c r="L7" s="31">
        <v>16500</v>
      </c>
      <c r="M7" s="90">
        <f t="shared" si="5"/>
        <v>0.40740740740740738</v>
      </c>
      <c r="N7" s="49"/>
      <c r="O7" s="46">
        <v>0</v>
      </c>
      <c r="P7" s="47">
        <f t="shared" si="6"/>
        <v>0</v>
      </c>
      <c r="Q7" s="48">
        <v>4600</v>
      </c>
      <c r="R7" s="45">
        <f t="shared" si="7"/>
        <v>0.11358024691358025</v>
      </c>
      <c r="S7" s="55">
        <f t="shared" si="10"/>
        <v>1262.3729999999996</v>
      </c>
      <c r="T7" s="51">
        <f t="shared" si="8"/>
        <v>40500</v>
      </c>
      <c r="U7" s="52"/>
      <c r="V7" s="53">
        <f t="shared" si="9"/>
        <v>1</v>
      </c>
    </row>
    <row r="8" spans="1:22" s="38" customFormat="1" x14ac:dyDescent="0.3">
      <c r="A8" s="38" t="s">
        <v>35</v>
      </c>
      <c r="B8" s="39">
        <v>43277</v>
      </c>
      <c r="C8" s="40">
        <v>75</v>
      </c>
      <c r="D8" s="41">
        <v>304500</v>
      </c>
      <c r="E8" s="54">
        <f t="shared" si="0"/>
        <v>42094.25</v>
      </c>
      <c r="F8" s="43">
        <v>5092</v>
      </c>
      <c r="G8" s="44">
        <f t="shared" si="1"/>
        <v>0.12592427727081634</v>
      </c>
      <c r="H8" s="45">
        <f t="shared" si="2"/>
        <v>1.6722495894909688E-2</v>
      </c>
      <c r="I8" s="46">
        <v>11118</v>
      </c>
      <c r="J8" s="44">
        <f t="shared" si="3"/>
        <v>0.27494621262704949</v>
      </c>
      <c r="K8" s="47">
        <f t="shared" si="4"/>
        <v>3.6512315270935958E-2</v>
      </c>
      <c r="L8" s="31">
        <v>19627</v>
      </c>
      <c r="M8" s="90">
        <f t="shared" si="5"/>
        <v>0.48537230754012417</v>
      </c>
      <c r="N8" s="49"/>
      <c r="O8" s="46">
        <v>0</v>
      </c>
      <c r="P8" s="47">
        <f t="shared" si="6"/>
        <v>0</v>
      </c>
      <c r="Q8" s="48">
        <v>4600</v>
      </c>
      <c r="R8" s="45">
        <f t="shared" si="7"/>
        <v>0.11375720256201004</v>
      </c>
      <c r="S8" s="55">
        <f t="shared" si="10"/>
        <v>-1657.25</v>
      </c>
      <c r="T8" s="51">
        <f t="shared" si="8"/>
        <v>40437</v>
      </c>
      <c r="U8" s="52"/>
      <c r="V8" s="53">
        <f t="shared" si="9"/>
        <v>1</v>
      </c>
    </row>
    <row r="9" spans="1:22" s="38" customFormat="1" x14ac:dyDescent="0.3">
      <c r="A9" s="38" t="s">
        <v>10</v>
      </c>
      <c r="B9" s="39">
        <v>43874</v>
      </c>
      <c r="C9" s="40">
        <v>87</v>
      </c>
      <c r="D9" s="41">
        <v>447271</v>
      </c>
      <c r="E9" s="54">
        <f t="shared" si="0"/>
        <v>60154.781499999997</v>
      </c>
      <c r="F9" s="43">
        <v>7136</v>
      </c>
      <c r="G9" s="44">
        <f t="shared" si="1"/>
        <v>0.12414968945179979</v>
      </c>
      <c r="H9" s="45">
        <f t="shared" si="2"/>
        <v>1.595453315775E-2</v>
      </c>
      <c r="I9" s="46">
        <v>15509</v>
      </c>
      <c r="J9" s="44">
        <f t="shared" si="3"/>
        <v>0.26982028219001725</v>
      </c>
      <c r="K9" s="47">
        <f t="shared" si="4"/>
        <v>3.4674727402402572E-2</v>
      </c>
      <c r="L9" s="31">
        <v>31834</v>
      </c>
      <c r="M9" s="90">
        <f t="shared" si="5"/>
        <v>0.55383705353259449</v>
      </c>
      <c r="N9" s="49"/>
      <c r="O9" s="46">
        <v>0</v>
      </c>
      <c r="P9" s="47">
        <f t="shared" si="6"/>
        <v>0</v>
      </c>
      <c r="Q9" s="48">
        <v>3000</v>
      </c>
      <c r="R9" s="45">
        <f t="shared" si="7"/>
        <v>5.2192974825588476E-2</v>
      </c>
      <c r="S9" s="55">
        <f t="shared" si="10"/>
        <v>-2675.7814999999973</v>
      </c>
      <c r="T9" s="51">
        <f t="shared" si="8"/>
        <v>57479</v>
      </c>
      <c r="U9" s="52"/>
      <c r="V9" s="53">
        <f t="shared" si="9"/>
        <v>1</v>
      </c>
    </row>
    <row r="10" spans="1:22" s="38" customFormat="1" x14ac:dyDescent="0.3">
      <c r="A10" s="38" t="s">
        <v>13</v>
      </c>
      <c r="B10" s="39">
        <v>44018</v>
      </c>
      <c r="C10" s="40">
        <v>75</v>
      </c>
      <c r="D10" s="41">
        <v>460000</v>
      </c>
      <c r="E10" s="54">
        <f t="shared" si="0"/>
        <v>61765</v>
      </c>
      <c r="F10" s="43">
        <v>5815</v>
      </c>
      <c r="G10" s="44">
        <f t="shared" si="1"/>
        <v>6.8975742838503051E-2</v>
      </c>
      <c r="H10" s="45">
        <f t="shared" si="2"/>
        <v>1.2641304347826086E-2</v>
      </c>
      <c r="I10" s="46">
        <v>29885</v>
      </c>
      <c r="J10" s="44">
        <f t="shared" si="3"/>
        <v>0.35448668524998517</v>
      </c>
      <c r="K10" s="47">
        <f t="shared" si="4"/>
        <v>6.4967391304347824E-2</v>
      </c>
      <c r="L10" s="31">
        <v>27605</v>
      </c>
      <c r="M10" s="90">
        <f t="shared" si="5"/>
        <v>0.32744202597710692</v>
      </c>
      <c r="N10" s="49"/>
      <c r="O10" s="46">
        <v>21000</v>
      </c>
      <c r="P10" s="47">
        <f t="shared" si="6"/>
        <v>0.24909554593440483</v>
      </c>
      <c r="Q10" s="48">
        <v>0</v>
      </c>
      <c r="R10" s="45">
        <f t="shared" si="7"/>
        <v>0</v>
      </c>
      <c r="S10" s="55">
        <f t="shared" si="10"/>
        <v>22540</v>
      </c>
      <c r="T10" s="51">
        <f t="shared" si="8"/>
        <v>84305</v>
      </c>
      <c r="U10" s="52"/>
      <c r="V10" s="53">
        <f t="shared" si="9"/>
        <v>1</v>
      </c>
    </row>
    <row r="11" spans="1:22" s="38" customFormat="1" x14ac:dyDescent="0.3">
      <c r="A11" s="38" t="s">
        <v>21</v>
      </c>
      <c r="B11" s="56">
        <v>43789</v>
      </c>
      <c r="C11" s="57" t="s">
        <v>22</v>
      </c>
      <c r="D11" s="58">
        <v>462462</v>
      </c>
      <c r="E11" s="54">
        <f t="shared" si="0"/>
        <v>62076.442999999999</v>
      </c>
      <c r="F11" s="59">
        <v>9547</v>
      </c>
      <c r="G11" s="44">
        <f t="shared" si="1"/>
        <v>0.16208828522920204</v>
      </c>
      <c r="H11" s="45">
        <f t="shared" si="2"/>
        <v>2.0643858306195969E-2</v>
      </c>
      <c r="I11" s="60">
        <v>17555</v>
      </c>
      <c r="J11" s="44">
        <f t="shared" si="3"/>
        <v>0.29804753820033958</v>
      </c>
      <c r="K11" s="47">
        <f t="shared" si="4"/>
        <v>3.7959875622213285E-2</v>
      </c>
      <c r="L11" s="33">
        <v>18498</v>
      </c>
      <c r="M11" s="90">
        <f t="shared" si="5"/>
        <v>0.31405772495755518</v>
      </c>
      <c r="N11" s="49"/>
      <c r="O11" s="60">
        <v>13300</v>
      </c>
      <c r="P11" s="47">
        <f t="shared" si="6"/>
        <v>0.22580645161290322</v>
      </c>
      <c r="Q11" s="61">
        <v>0</v>
      </c>
      <c r="R11" s="45">
        <f t="shared" si="7"/>
        <v>0</v>
      </c>
      <c r="S11" s="55">
        <f t="shared" ref="S11:S14" si="11">T11-E11</f>
        <v>-3176.4429999999993</v>
      </c>
      <c r="T11" s="51">
        <f t="shared" si="8"/>
        <v>58900</v>
      </c>
      <c r="U11" s="52"/>
      <c r="V11" s="53">
        <f t="shared" si="9"/>
        <v>1</v>
      </c>
    </row>
    <row r="12" spans="1:22" s="38" customFormat="1" x14ac:dyDescent="0.3">
      <c r="A12" s="38" t="s">
        <v>25</v>
      </c>
      <c r="B12" s="56">
        <v>43676</v>
      </c>
      <c r="C12" s="57" t="s">
        <v>28</v>
      </c>
      <c r="D12" s="58">
        <v>497303</v>
      </c>
      <c r="E12" s="54">
        <f t="shared" si="0"/>
        <v>66483.829499999993</v>
      </c>
      <c r="F12" s="59">
        <v>5300</v>
      </c>
      <c r="G12" s="44">
        <f t="shared" si="1"/>
        <v>7.9341317365269462E-2</v>
      </c>
      <c r="H12" s="45">
        <f t="shared" si="2"/>
        <v>1.0657486482084363E-2</v>
      </c>
      <c r="I12" s="60">
        <v>25300</v>
      </c>
      <c r="J12" s="44">
        <f t="shared" si="3"/>
        <v>0.3787425149700599</v>
      </c>
      <c r="K12" s="47">
        <f t="shared" si="4"/>
        <v>5.0874416603157432E-2</v>
      </c>
      <c r="L12" s="33">
        <v>31800</v>
      </c>
      <c r="M12" s="90">
        <f t="shared" si="5"/>
        <v>0.47604790419161674</v>
      </c>
      <c r="N12" s="49"/>
      <c r="O12" s="60">
        <v>0</v>
      </c>
      <c r="P12" s="47">
        <f t="shared" si="6"/>
        <v>0</v>
      </c>
      <c r="Q12" s="61">
        <v>4400</v>
      </c>
      <c r="R12" s="45">
        <f t="shared" si="7"/>
        <v>6.5868263473053898E-2</v>
      </c>
      <c r="S12" s="55">
        <f t="shared" si="11"/>
        <v>316.17050000000745</v>
      </c>
      <c r="T12" s="51">
        <f t="shared" si="8"/>
        <v>66800</v>
      </c>
      <c r="U12" s="52"/>
      <c r="V12" s="53">
        <f t="shared" si="9"/>
        <v>1</v>
      </c>
    </row>
    <row r="13" spans="1:22" s="38" customFormat="1" x14ac:dyDescent="0.3">
      <c r="A13" s="38" t="s">
        <v>43</v>
      </c>
      <c r="B13" s="56">
        <v>43892</v>
      </c>
      <c r="C13" s="57">
        <v>120</v>
      </c>
      <c r="D13" s="58">
        <v>534235</v>
      </c>
      <c r="E13" s="54">
        <f t="shared" si="0"/>
        <v>71155.727499999994</v>
      </c>
      <c r="F13" s="59">
        <v>10500</v>
      </c>
      <c r="G13" s="44">
        <f t="shared" si="1"/>
        <v>0.12987012987012986</v>
      </c>
      <c r="H13" s="45">
        <f t="shared" si="2"/>
        <v>1.9654271996406077E-2</v>
      </c>
      <c r="I13" s="60">
        <v>19950</v>
      </c>
      <c r="J13" s="44">
        <f t="shared" si="3"/>
        <v>0.24675324675324675</v>
      </c>
      <c r="K13" s="47">
        <f t="shared" si="4"/>
        <v>3.7343116793171545E-2</v>
      </c>
      <c r="L13" s="33">
        <v>49000</v>
      </c>
      <c r="M13" s="32">
        <f t="shared" si="5"/>
        <v>0.60606060606060608</v>
      </c>
      <c r="N13" s="49"/>
      <c r="O13" s="60">
        <v>0</v>
      </c>
      <c r="P13" s="47">
        <f t="shared" si="6"/>
        <v>0</v>
      </c>
      <c r="Q13" s="61">
        <v>1400</v>
      </c>
      <c r="R13" s="45">
        <f t="shared" si="7"/>
        <v>1.7316017316017316E-2</v>
      </c>
      <c r="S13" s="55">
        <f t="shared" si="11"/>
        <v>9694.2725000000064</v>
      </c>
      <c r="T13" s="51">
        <f t="shared" si="8"/>
        <v>80850</v>
      </c>
      <c r="U13" s="52"/>
      <c r="V13" s="53">
        <f t="shared" si="9"/>
        <v>1</v>
      </c>
    </row>
    <row r="14" spans="1:22" s="38" customFormat="1" x14ac:dyDescent="0.3">
      <c r="A14" s="38" t="s">
        <v>36</v>
      </c>
      <c r="B14" s="56">
        <v>43675</v>
      </c>
      <c r="C14" s="57">
        <v>84</v>
      </c>
      <c r="D14" s="58">
        <v>537980</v>
      </c>
      <c r="E14" s="54">
        <f t="shared" si="0"/>
        <v>71629.47</v>
      </c>
      <c r="F14" s="59">
        <v>5000</v>
      </c>
      <c r="G14" s="44">
        <f t="shared" si="1"/>
        <v>7.2907553222513855E-2</v>
      </c>
      <c r="H14" s="45">
        <f t="shared" si="2"/>
        <v>9.2940258002156221E-3</v>
      </c>
      <c r="I14" s="60">
        <v>14155</v>
      </c>
      <c r="J14" s="44">
        <f t="shared" si="3"/>
        <v>0.20640128317293671</v>
      </c>
      <c r="K14" s="47">
        <f t="shared" si="4"/>
        <v>2.6311387040410424E-2</v>
      </c>
      <c r="L14" s="33">
        <v>47025</v>
      </c>
      <c r="M14" s="32">
        <f t="shared" si="5"/>
        <v>0.68569553805774275</v>
      </c>
      <c r="N14" s="49"/>
      <c r="O14" s="60">
        <v>0</v>
      </c>
      <c r="P14" s="47">
        <f t="shared" si="6"/>
        <v>0</v>
      </c>
      <c r="Q14" s="61">
        <v>2400</v>
      </c>
      <c r="R14" s="45">
        <f t="shared" si="7"/>
        <v>3.4995625546806651E-2</v>
      </c>
      <c r="S14" s="50">
        <f t="shared" si="11"/>
        <v>-3049.4700000000012</v>
      </c>
      <c r="T14" s="51">
        <f t="shared" si="8"/>
        <v>68580</v>
      </c>
      <c r="U14" s="52"/>
      <c r="V14" s="53">
        <f t="shared" si="9"/>
        <v>1</v>
      </c>
    </row>
    <row r="15" spans="1:22" s="38" customFormat="1" x14ac:dyDescent="0.3">
      <c r="A15" s="38" t="s">
        <v>46</v>
      </c>
      <c r="B15" s="56">
        <v>43119</v>
      </c>
      <c r="C15" s="57"/>
      <c r="D15" s="58">
        <v>561706</v>
      </c>
      <c r="E15" s="42">
        <f t="shared" si="0"/>
        <v>74630.808999999994</v>
      </c>
      <c r="F15" s="59">
        <v>3900</v>
      </c>
      <c r="G15" s="44">
        <f t="shared" si="1"/>
        <v>4.7527937896827813E-2</v>
      </c>
      <c r="H15" s="45">
        <f t="shared" si="2"/>
        <v>6.9431339526371443E-3</v>
      </c>
      <c r="I15" s="60">
        <v>25700</v>
      </c>
      <c r="J15" s="44">
        <f t="shared" si="3"/>
        <v>0.31319692408935251</v>
      </c>
      <c r="K15" s="47">
        <f t="shared" si="4"/>
        <v>4.5753472457121698E-2</v>
      </c>
      <c r="L15" s="33">
        <v>43600</v>
      </c>
      <c r="M15" s="32">
        <f t="shared" si="5"/>
        <v>0.53133797238504943</v>
      </c>
      <c r="N15" s="49"/>
      <c r="O15" s="60">
        <v>7195</v>
      </c>
      <c r="P15" s="47">
        <f t="shared" si="6"/>
        <v>8.7682952094275929E-2</v>
      </c>
      <c r="Q15" s="61">
        <v>1662</v>
      </c>
      <c r="R15" s="45">
        <f t="shared" si="7"/>
        <v>2.0254213534494313E-2</v>
      </c>
      <c r="S15" s="50">
        <f t="shared" ref="S15:S22" si="12">T15-E15</f>
        <v>7426.1910000000062</v>
      </c>
      <c r="T15" s="51">
        <f t="shared" si="8"/>
        <v>82057</v>
      </c>
      <c r="U15" s="62"/>
      <c r="V15" s="53">
        <f t="shared" si="9"/>
        <v>1</v>
      </c>
    </row>
    <row r="16" spans="1:22" s="38" customFormat="1" x14ac:dyDescent="0.3">
      <c r="A16" s="38" t="s">
        <v>19</v>
      </c>
      <c r="B16" s="39">
        <v>43301</v>
      </c>
      <c r="C16" s="40">
        <v>280</v>
      </c>
      <c r="D16" s="41">
        <v>632507.46</v>
      </c>
      <c r="E16" s="54">
        <f t="shared" si="0"/>
        <v>83587.19369</v>
      </c>
      <c r="F16" s="43">
        <v>4300</v>
      </c>
      <c r="G16" s="44">
        <f t="shared" si="1"/>
        <v>4.0484305270491648E-2</v>
      </c>
      <c r="H16" s="45">
        <f t="shared" si="2"/>
        <v>6.7983387895535659E-3</v>
      </c>
      <c r="I16" s="46">
        <v>30000</v>
      </c>
      <c r="J16" s="44">
        <f t="shared" si="3"/>
        <v>0.28244864142203474</v>
      </c>
      <c r="K16" s="47">
        <f t="shared" si="4"/>
        <v>4.7430270624792319E-2</v>
      </c>
      <c r="L16" s="31">
        <v>56600</v>
      </c>
      <c r="M16" s="32">
        <f t="shared" si="5"/>
        <v>0.53288643681623893</v>
      </c>
      <c r="N16" s="49"/>
      <c r="O16" s="46">
        <v>7802</v>
      </c>
      <c r="P16" s="47">
        <f t="shared" si="6"/>
        <v>7.3455476679157167E-2</v>
      </c>
      <c r="Q16" s="48">
        <v>7512</v>
      </c>
      <c r="R16" s="45">
        <f t="shared" si="7"/>
        <v>7.0725139812077509E-2</v>
      </c>
      <c r="S16" s="55">
        <f t="shared" si="12"/>
        <v>22626.80631</v>
      </c>
      <c r="T16" s="51">
        <f t="shared" si="8"/>
        <v>106214</v>
      </c>
      <c r="U16" s="52"/>
      <c r="V16" s="53">
        <f t="shared" si="9"/>
        <v>1</v>
      </c>
    </row>
    <row r="17" spans="1:22" s="38" customFormat="1" x14ac:dyDescent="0.3">
      <c r="A17" s="38" t="s">
        <v>34</v>
      </c>
      <c r="B17" s="39">
        <v>43784</v>
      </c>
      <c r="C17" s="40">
        <v>150</v>
      </c>
      <c r="D17" s="41">
        <v>645750</v>
      </c>
      <c r="E17" s="54">
        <f t="shared" si="0"/>
        <v>85262.375</v>
      </c>
      <c r="F17" s="43">
        <v>7820</v>
      </c>
      <c r="G17" s="44">
        <f t="shared" si="1"/>
        <v>8.6479552341140825E-2</v>
      </c>
      <c r="H17" s="45">
        <f t="shared" si="2"/>
        <v>1.2109949670925281E-2</v>
      </c>
      <c r="I17" s="46">
        <v>28170</v>
      </c>
      <c r="J17" s="44">
        <f t="shared" si="3"/>
        <v>0.31152544622121958</v>
      </c>
      <c r="K17" s="47">
        <f t="shared" si="4"/>
        <v>4.362369337979094E-2</v>
      </c>
      <c r="L17" s="31">
        <v>48180</v>
      </c>
      <c r="M17" s="32">
        <f t="shared" si="5"/>
        <v>0.53281135956472692</v>
      </c>
      <c r="N17" s="49"/>
      <c r="O17" s="46">
        <v>4518</v>
      </c>
      <c r="P17" s="47">
        <f t="shared" si="6"/>
        <v>4.9963506071262688E-2</v>
      </c>
      <c r="Q17" s="48">
        <v>1738</v>
      </c>
      <c r="R17" s="45">
        <f t="shared" si="7"/>
        <v>1.9220135801649968E-2</v>
      </c>
      <c r="S17" s="55">
        <f t="shared" si="12"/>
        <v>5163.625</v>
      </c>
      <c r="T17" s="51">
        <f t="shared" si="8"/>
        <v>90426</v>
      </c>
      <c r="U17" s="52"/>
      <c r="V17" s="53">
        <f t="shared" si="9"/>
        <v>0.99999999999999989</v>
      </c>
    </row>
    <row r="18" spans="1:22" s="38" customFormat="1" x14ac:dyDescent="0.3">
      <c r="A18" s="38" t="s">
        <v>14</v>
      </c>
      <c r="B18" s="39">
        <v>43382</v>
      </c>
      <c r="C18" s="40" t="s">
        <v>15</v>
      </c>
      <c r="D18" s="41">
        <v>670000</v>
      </c>
      <c r="E18" s="54">
        <f t="shared" si="0"/>
        <v>88330</v>
      </c>
      <c r="F18" s="43">
        <v>9551</v>
      </c>
      <c r="G18" s="44">
        <f t="shared" si="1"/>
        <v>0.11226696758116464</v>
      </c>
      <c r="H18" s="45">
        <f t="shared" si="2"/>
        <v>1.4255223880597015E-2</v>
      </c>
      <c r="I18" s="46">
        <v>29149</v>
      </c>
      <c r="J18" s="44">
        <f t="shared" si="3"/>
        <v>0.34263112114159439</v>
      </c>
      <c r="K18" s="47">
        <f t="shared" si="4"/>
        <v>4.3505970149253732E-2</v>
      </c>
      <c r="L18" s="31">
        <v>36168</v>
      </c>
      <c r="M18" s="32">
        <f t="shared" si="5"/>
        <v>0.42513576415826221</v>
      </c>
      <c r="N18" s="49"/>
      <c r="O18" s="46">
        <v>6394</v>
      </c>
      <c r="P18" s="47">
        <f t="shared" si="6"/>
        <v>7.5158097656158163E-2</v>
      </c>
      <c r="Q18" s="48">
        <v>3812</v>
      </c>
      <c r="R18" s="45">
        <f t="shared" si="7"/>
        <v>4.4808049462820604E-2</v>
      </c>
      <c r="S18" s="55">
        <f t="shared" si="12"/>
        <v>-3256</v>
      </c>
      <c r="T18" s="51">
        <f t="shared" si="8"/>
        <v>85074</v>
      </c>
      <c r="U18" s="52"/>
      <c r="V18" s="53">
        <f t="shared" si="9"/>
        <v>0.99999999999999989</v>
      </c>
    </row>
    <row r="19" spans="1:22" s="38" customFormat="1" x14ac:dyDescent="0.3">
      <c r="A19" s="38" t="s">
        <v>53</v>
      </c>
      <c r="B19" s="70" t="s">
        <v>56</v>
      </c>
      <c r="C19" s="40"/>
      <c r="D19" s="41">
        <v>700000</v>
      </c>
      <c r="E19" s="42">
        <f>3575+(0.1265*D19)</f>
        <v>92125</v>
      </c>
      <c r="F19" s="43">
        <v>11765</v>
      </c>
      <c r="G19" s="71">
        <f>F19/T19</f>
        <v>9.269764729983139E-2</v>
      </c>
      <c r="H19" s="45">
        <f t="shared" si="2"/>
        <v>1.6807142857142857E-2</v>
      </c>
      <c r="I19" s="46">
        <v>44304</v>
      </c>
      <c r="J19" s="44">
        <f>I19/T19</f>
        <v>0.3490757812130667</v>
      </c>
      <c r="K19" s="47">
        <f t="shared" si="4"/>
        <v>6.3291428571428568E-2</v>
      </c>
      <c r="L19" s="31">
        <v>70289</v>
      </c>
      <c r="M19" s="32">
        <f>L19/T19</f>
        <v>0.55381427378307257</v>
      </c>
      <c r="N19" s="49"/>
      <c r="O19" s="46">
        <v>560</v>
      </c>
      <c r="P19" s="47">
        <f t="shared" si="6"/>
        <v>4.4122977040293729E-3</v>
      </c>
      <c r="Q19" s="48">
        <v>0</v>
      </c>
      <c r="R19" s="45">
        <f t="shared" si="7"/>
        <v>0</v>
      </c>
      <c r="S19" s="50">
        <f t="shared" si="12"/>
        <v>34793</v>
      </c>
      <c r="T19" s="51">
        <f t="shared" si="8"/>
        <v>126918</v>
      </c>
      <c r="U19" s="52"/>
      <c r="V19" s="53">
        <f t="shared" si="9"/>
        <v>1</v>
      </c>
    </row>
    <row r="20" spans="1:22" s="38" customFormat="1" x14ac:dyDescent="0.3">
      <c r="A20" s="38" t="s">
        <v>38</v>
      </c>
      <c r="B20" s="39">
        <v>44209</v>
      </c>
      <c r="C20" s="40"/>
      <c r="D20" s="41">
        <v>735000</v>
      </c>
      <c r="E20" s="42">
        <f>(D20*0.1265)+3575</f>
        <v>96552.5</v>
      </c>
      <c r="F20" s="43">
        <v>5500</v>
      </c>
      <c r="G20" s="44">
        <f>F20/$T20</f>
        <v>5.2970182602665845E-2</v>
      </c>
      <c r="H20" s="45">
        <f t="shared" si="2"/>
        <v>7.4829931972789114E-3</v>
      </c>
      <c r="I20" s="46">
        <v>33900</v>
      </c>
      <c r="J20" s="44">
        <f>I20/$T20</f>
        <v>0.32648894367824949</v>
      </c>
      <c r="K20" s="47">
        <f t="shared" si="4"/>
        <v>4.6122448979591835E-2</v>
      </c>
      <c r="L20" s="31">
        <v>54300</v>
      </c>
      <c r="M20" s="32">
        <f>L20/$T20</f>
        <v>0.52296016642268284</v>
      </c>
      <c r="N20" s="49"/>
      <c r="O20" s="46">
        <v>0</v>
      </c>
      <c r="P20" s="47">
        <f t="shared" si="6"/>
        <v>0</v>
      </c>
      <c r="Q20" s="48">
        <v>10132</v>
      </c>
      <c r="R20" s="45">
        <f t="shared" si="7"/>
        <v>9.7580707296401878E-2</v>
      </c>
      <c r="S20" s="50">
        <f t="shared" si="12"/>
        <v>7279.5</v>
      </c>
      <c r="T20" s="51">
        <f t="shared" si="8"/>
        <v>103832</v>
      </c>
      <c r="U20" s="52"/>
      <c r="V20" s="53">
        <f t="shared" si="9"/>
        <v>1</v>
      </c>
    </row>
    <row r="21" spans="1:22" s="38" customFormat="1" x14ac:dyDescent="0.3">
      <c r="A21" s="38" t="s">
        <v>23</v>
      </c>
      <c r="B21" s="39">
        <v>43696</v>
      </c>
      <c r="C21" s="40">
        <v>210</v>
      </c>
      <c r="D21" s="41">
        <v>755650</v>
      </c>
      <c r="E21" s="54">
        <f>(D21*0.1265)+3575</f>
        <v>99164.725000000006</v>
      </c>
      <c r="F21" s="43">
        <v>6500</v>
      </c>
      <c r="G21" s="44">
        <f>F21/$T21</f>
        <v>8.2145384693155396E-2</v>
      </c>
      <c r="H21" s="45">
        <f t="shared" si="2"/>
        <v>8.6018659432276854E-3</v>
      </c>
      <c r="I21" s="46">
        <v>23800</v>
      </c>
      <c r="J21" s="44">
        <f>I21/$T21</f>
        <v>0.30077848549186131</v>
      </c>
      <c r="K21" s="47">
        <f t="shared" si="4"/>
        <v>3.1496062992125984E-2</v>
      </c>
      <c r="L21" s="31">
        <v>29200</v>
      </c>
      <c r="M21" s="32">
        <f>L21/$T21</f>
        <v>0.36902234354463653</v>
      </c>
      <c r="N21" s="49"/>
      <c r="O21" s="46">
        <v>0</v>
      </c>
      <c r="P21" s="47">
        <f t="shared" si="6"/>
        <v>0</v>
      </c>
      <c r="Q21" s="48">
        <v>19628</v>
      </c>
      <c r="R21" s="45">
        <f t="shared" si="7"/>
        <v>0.24805378627034677</v>
      </c>
      <c r="S21" s="55">
        <f t="shared" si="12"/>
        <v>-20036.725000000006</v>
      </c>
      <c r="T21" s="51">
        <f t="shared" si="8"/>
        <v>79128</v>
      </c>
      <c r="U21" s="52"/>
      <c r="V21" s="53">
        <f t="shared" si="9"/>
        <v>1</v>
      </c>
    </row>
    <row r="22" spans="1:22" x14ac:dyDescent="0.3">
      <c r="A22" t="s">
        <v>32</v>
      </c>
      <c r="B22" s="4">
        <v>43699</v>
      </c>
      <c r="C22" s="15">
        <v>134</v>
      </c>
      <c r="D22" s="5">
        <v>1034570</v>
      </c>
      <c r="E22" s="9">
        <f t="shared" ref="E22:E36" si="13">0.55*(0.6788*(D22^0.9206))</f>
        <v>128615.25093066241</v>
      </c>
      <c r="F22" s="18">
        <v>10700</v>
      </c>
      <c r="G22" s="11">
        <f>F22/$T22</f>
        <v>9.1203545857483803E-2</v>
      </c>
      <c r="H22" s="19">
        <f t="shared" si="2"/>
        <v>1.0342461119112288E-2</v>
      </c>
      <c r="I22" s="7">
        <v>36320</v>
      </c>
      <c r="J22" s="11">
        <f>I22/$T22</f>
        <v>0.30958063416297305</v>
      </c>
      <c r="K22" s="13">
        <f t="shared" si="4"/>
        <v>3.5106372695902645E-2</v>
      </c>
      <c r="L22" s="31">
        <v>67500</v>
      </c>
      <c r="M22" s="32">
        <f>L22/$T22</f>
        <v>0.5753494715308558</v>
      </c>
      <c r="N22" s="27"/>
      <c r="O22" s="7">
        <v>2800</v>
      </c>
      <c r="P22" s="13">
        <f t="shared" si="6"/>
        <v>2.386634844868735E-2</v>
      </c>
      <c r="Q22" s="23">
        <v>0</v>
      </c>
      <c r="R22" s="19">
        <f t="shared" si="7"/>
        <v>0</v>
      </c>
      <c r="S22" s="25">
        <f t="shared" si="12"/>
        <v>-11295.250930662412</v>
      </c>
      <c r="T22" s="12">
        <f t="shared" si="8"/>
        <v>117320</v>
      </c>
      <c r="U22" s="3"/>
      <c r="V22" s="2">
        <f t="shared" si="9"/>
        <v>1</v>
      </c>
    </row>
    <row r="23" spans="1:22" x14ac:dyDescent="0.3">
      <c r="A23" t="s">
        <v>17</v>
      </c>
      <c r="B23" s="4">
        <v>43382</v>
      </c>
      <c r="C23" s="15" t="s">
        <v>18</v>
      </c>
      <c r="D23" s="5">
        <v>1225000</v>
      </c>
      <c r="E23" s="9">
        <f t="shared" si="13"/>
        <v>150259.73078607448</v>
      </c>
      <c r="F23" s="18">
        <v>9594</v>
      </c>
      <c r="G23" s="11">
        <f>F23/$T23</f>
        <v>7.9373221258852336E-2</v>
      </c>
      <c r="H23" s="19">
        <f t="shared" si="2"/>
        <v>7.8318367346938769E-3</v>
      </c>
      <c r="I23" s="7">
        <v>41806</v>
      </c>
      <c r="J23" s="11">
        <f>I23/$T23</f>
        <v>0.34587001125157191</v>
      </c>
      <c r="K23" s="13">
        <f t="shared" si="4"/>
        <v>3.4127346938775512E-2</v>
      </c>
      <c r="L23" s="31">
        <v>68972</v>
      </c>
      <c r="M23" s="32">
        <f>L23/$T23</f>
        <v>0.5706201601694354</v>
      </c>
      <c r="N23" s="27"/>
      <c r="O23" s="7">
        <v>500</v>
      </c>
      <c r="P23" s="13">
        <f t="shared" si="6"/>
        <v>4.136607320140314E-3</v>
      </c>
      <c r="Q23" s="23">
        <v>0</v>
      </c>
      <c r="R23" s="19">
        <f t="shared" si="7"/>
        <v>0</v>
      </c>
      <c r="S23" s="25">
        <f t="shared" ref="S23:S30" si="14">T23-E23</f>
        <v>-29387.730786074477</v>
      </c>
      <c r="T23" s="12">
        <f t="shared" si="8"/>
        <v>120872</v>
      </c>
      <c r="U23" s="3"/>
      <c r="V23" s="2">
        <f t="shared" si="9"/>
        <v>1</v>
      </c>
    </row>
    <row r="24" spans="1:22" x14ac:dyDescent="0.3">
      <c r="A24" t="s">
        <v>58</v>
      </c>
      <c r="B24" s="69" t="s">
        <v>56</v>
      </c>
      <c r="C24" s="15"/>
      <c r="D24" s="5">
        <v>1235000</v>
      </c>
      <c r="E24" s="9">
        <f t="shared" si="13"/>
        <v>151388.58310733453</v>
      </c>
      <c r="F24" s="18">
        <v>7265</v>
      </c>
      <c r="G24" s="11">
        <f>F24/T24</f>
        <v>5.3870680705917245E-2</v>
      </c>
      <c r="H24" s="19">
        <f t="shared" si="2"/>
        <v>5.8825910931174091E-3</v>
      </c>
      <c r="I24" s="7">
        <v>52535</v>
      </c>
      <c r="J24" s="11">
        <f>I24/T24</f>
        <v>0.38955212813287854</v>
      </c>
      <c r="K24" s="13">
        <f t="shared" si="4"/>
        <v>4.2538461538461539E-2</v>
      </c>
      <c r="L24" s="31">
        <v>66310</v>
      </c>
      <c r="M24" s="32">
        <f>L24/T24</f>
        <v>0.49169509120569477</v>
      </c>
      <c r="N24" s="27"/>
      <c r="O24" s="7">
        <v>8750</v>
      </c>
      <c r="P24" s="13">
        <f t="shared" si="6"/>
        <v>6.488209995550942E-2</v>
      </c>
      <c r="Q24" s="23">
        <v>0</v>
      </c>
      <c r="R24" s="19">
        <f t="shared" si="7"/>
        <v>0</v>
      </c>
      <c r="S24" s="25">
        <f t="shared" si="14"/>
        <v>-16528.583107334533</v>
      </c>
      <c r="T24" s="12">
        <f t="shared" si="8"/>
        <v>134860</v>
      </c>
      <c r="U24" s="3"/>
      <c r="V24" s="2">
        <f t="shared" si="9"/>
        <v>1</v>
      </c>
    </row>
    <row r="25" spans="1:22" x14ac:dyDescent="0.3">
      <c r="A25" t="s">
        <v>45</v>
      </c>
      <c r="B25" s="4">
        <v>43207</v>
      </c>
      <c r="C25" s="15">
        <v>180</v>
      </c>
      <c r="D25" s="5">
        <v>1394195.98</v>
      </c>
      <c r="E25" s="9">
        <f t="shared" si="13"/>
        <v>169265.7295871074</v>
      </c>
      <c r="F25" s="18">
        <v>4200</v>
      </c>
      <c r="G25" s="11">
        <f>F25/$T25</f>
        <v>2.3255813953488372E-2</v>
      </c>
      <c r="H25" s="19">
        <f t="shared" si="2"/>
        <v>3.0124889615590488E-3</v>
      </c>
      <c r="I25" s="7">
        <v>49100</v>
      </c>
      <c r="J25" s="11">
        <f>I25/$T25</f>
        <v>0.2718715393133998</v>
      </c>
      <c r="K25" s="13">
        <f t="shared" si="4"/>
        <v>3.5217430479178399E-2</v>
      </c>
      <c r="L25" s="31">
        <v>114800</v>
      </c>
      <c r="M25" s="32">
        <f>L25/$T25</f>
        <v>0.63565891472868219</v>
      </c>
      <c r="N25" s="27"/>
      <c r="O25" s="7">
        <v>0</v>
      </c>
      <c r="P25" s="13">
        <f t="shared" si="6"/>
        <v>0</v>
      </c>
      <c r="Q25" s="23">
        <v>12500</v>
      </c>
      <c r="R25" s="19">
        <f t="shared" si="7"/>
        <v>6.9213732004429679E-2</v>
      </c>
      <c r="S25" s="25">
        <f t="shared" si="14"/>
        <v>11334.270412892598</v>
      </c>
      <c r="T25" s="12">
        <f t="shared" si="8"/>
        <v>180600</v>
      </c>
      <c r="U25" s="3"/>
      <c r="V25" s="2">
        <f t="shared" si="9"/>
        <v>1</v>
      </c>
    </row>
    <row r="26" spans="1:22" x14ac:dyDescent="0.3">
      <c r="A26" t="s">
        <v>37</v>
      </c>
      <c r="B26" s="4">
        <v>43609</v>
      </c>
      <c r="C26" s="15">
        <v>180</v>
      </c>
      <c r="D26" s="5">
        <v>1449027.62</v>
      </c>
      <c r="E26" s="9">
        <f t="shared" si="13"/>
        <v>175384.69817707335</v>
      </c>
      <c r="F26" s="18">
        <v>6600</v>
      </c>
      <c r="G26" s="11">
        <f>F26/$T26</f>
        <v>4.1493775933609957E-2</v>
      </c>
      <c r="H26" s="19">
        <f t="shared" si="2"/>
        <v>4.5547786038750591E-3</v>
      </c>
      <c r="I26" s="7">
        <v>50000</v>
      </c>
      <c r="J26" s="11">
        <f>I26/$T26</f>
        <v>0.31434678737583299</v>
      </c>
      <c r="K26" s="13">
        <f t="shared" si="4"/>
        <v>3.4505898514204991E-2</v>
      </c>
      <c r="L26" s="31">
        <v>95800</v>
      </c>
      <c r="M26" s="32">
        <f>L26/$T26</f>
        <v>0.60228844461209607</v>
      </c>
      <c r="N26" s="27"/>
      <c r="O26" s="7">
        <v>6660</v>
      </c>
      <c r="P26" s="13">
        <f t="shared" si="6"/>
        <v>4.1870992078460956E-2</v>
      </c>
      <c r="Q26" s="23">
        <v>0</v>
      </c>
      <c r="R26" s="19">
        <f t="shared" si="7"/>
        <v>0</v>
      </c>
      <c r="S26" s="25">
        <f>T26-E26</f>
        <v>-16324.698177073355</v>
      </c>
      <c r="T26" s="12">
        <f t="shared" si="8"/>
        <v>159060</v>
      </c>
      <c r="U26" s="3"/>
      <c r="V26" s="2">
        <f t="shared" si="9"/>
        <v>1</v>
      </c>
    </row>
    <row r="27" spans="1:22" x14ac:dyDescent="0.3">
      <c r="A27" t="s">
        <v>59</v>
      </c>
      <c r="B27" s="69" t="s">
        <v>60</v>
      </c>
      <c r="C27" s="15"/>
      <c r="D27" s="5">
        <v>1942150</v>
      </c>
      <c r="E27" s="9">
        <f t="shared" si="13"/>
        <v>229666.49386969442</v>
      </c>
      <c r="F27" s="18">
        <v>13350</v>
      </c>
      <c r="G27" s="11">
        <f>F27/T27</f>
        <v>8.9866916184796003E-2</v>
      </c>
      <c r="H27" s="19">
        <f t="shared" si="2"/>
        <v>6.8738253996859155E-3</v>
      </c>
      <c r="I27" s="7">
        <v>50550</v>
      </c>
      <c r="J27" s="11">
        <f>I27/T27</f>
        <v>0.34028259274467698</v>
      </c>
      <c r="K27" s="13">
        <f t="shared" si="4"/>
        <v>2.6027855726900601E-2</v>
      </c>
      <c r="L27" s="31">
        <v>81273</v>
      </c>
      <c r="M27" s="32">
        <f>L27/T27</f>
        <v>0.54709766884546251</v>
      </c>
      <c r="N27" s="27"/>
      <c r="O27" s="7">
        <v>0</v>
      </c>
      <c r="P27" s="13">
        <f t="shared" si="6"/>
        <v>0</v>
      </c>
      <c r="Q27" s="23">
        <v>3380</v>
      </c>
      <c r="R27" s="19">
        <f t="shared" si="7"/>
        <v>2.2752822225064456E-2</v>
      </c>
      <c r="S27" s="25">
        <f t="shared" ref="S27:S28" si="15">T27-E27</f>
        <v>-81113.493869694415</v>
      </c>
      <c r="T27" s="12">
        <f t="shared" si="8"/>
        <v>148553</v>
      </c>
      <c r="U27" s="3"/>
      <c r="V27" s="2">
        <f t="shared" si="9"/>
        <v>1</v>
      </c>
    </row>
    <row r="28" spans="1:22" x14ac:dyDescent="0.3">
      <c r="A28" t="s">
        <v>30</v>
      </c>
      <c r="B28" s="4">
        <v>43732</v>
      </c>
      <c r="C28" s="15">
        <v>210</v>
      </c>
      <c r="D28" s="5">
        <v>1980404.5</v>
      </c>
      <c r="E28" s="9">
        <f t="shared" si="13"/>
        <v>233827.81295052808</v>
      </c>
      <c r="F28" s="18">
        <v>12500</v>
      </c>
      <c r="G28" s="11">
        <f>F28/$T28</f>
        <v>6.6418703506907539E-2</v>
      </c>
      <c r="H28" s="19">
        <f t="shared" si="2"/>
        <v>6.3118418484708555E-3</v>
      </c>
      <c r="I28" s="7">
        <v>51600</v>
      </c>
      <c r="J28" s="11">
        <f>I28/$T28</f>
        <v>0.27417640807651433</v>
      </c>
      <c r="K28" s="13">
        <f t="shared" si="4"/>
        <v>2.605528315048769E-2</v>
      </c>
      <c r="L28" s="31">
        <v>119150</v>
      </c>
      <c r="M28" s="32">
        <f>L28/$T28</f>
        <v>0.6331030818278427</v>
      </c>
      <c r="N28" s="27"/>
      <c r="O28" s="7">
        <v>4950</v>
      </c>
      <c r="P28" s="13">
        <f t="shared" si="6"/>
        <v>2.6301806588735387E-2</v>
      </c>
      <c r="Q28" s="23">
        <v>0</v>
      </c>
      <c r="R28" s="19">
        <f t="shared" si="7"/>
        <v>0</v>
      </c>
      <c r="S28" s="25">
        <f t="shared" si="15"/>
        <v>-45627.812950528081</v>
      </c>
      <c r="T28" s="12">
        <f t="shared" si="8"/>
        <v>188200</v>
      </c>
      <c r="U28" s="3"/>
      <c r="V28" s="2">
        <f t="shared" si="9"/>
        <v>0.99999999999999989</v>
      </c>
    </row>
    <row r="29" spans="1:22" x14ac:dyDescent="0.3">
      <c r="A29" t="s">
        <v>33</v>
      </c>
      <c r="B29" s="4">
        <v>43598</v>
      </c>
      <c r="C29" s="15">
        <v>300</v>
      </c>
      <c r="D29" s="5">
        <v>2460000</v>
      </c>
      <c r="E29" s="9">
        <f t="shared" si="13"/>
        <v>285495.57591620495</v>
      </c>
      <c r="F29" s="18">
        <v>12400</v>
      </c>
      <c r="G29" s="11">
        <f>F29/$T29</f>
        <v>3.8708871823687332E-2</v>
      </c>
      <c r="H29" s="19">
        <f t="shared" si="2"/>
        <v>5.0406504065040655E-3</v>
      </c>
      <c r="I29" s="7">
        <v>104000</v>
      </c>
      <c r="J29" s="11">
        <f>I29/$T29</f>
        <v>0.32465505400511957</v>
      </c>
      <c r="K29" s="13">
        <f t="shared" si="4"/>
        <v>4.2276422764227641E-2</v>
      </c>
      <c r="L29" s="31">
        <v>142500</v>
      </c>
      <c r="M29" s="32">
        <f>L29/$T29</f>
        <v>0.44483985765124556</v>
      </c>
      <c r="N29" s="27"/>
      <c r="O29" s="7">
        <v>61440</v>
      </c>
      <c r="P29" s="13">
        <f t="shared" si="6"/>
        <v>0.19179621651994755</v>
      </c>
      <c r="Q29" s="23">
        <v>0</v>
      </c>
      <c r="R29" s="19">
        <f t="shared" si="7"/>
        <v>0</v>
      </c>
      <c r="S29" s="25">
        <f t="shared" si="14"/>
        <v>34844.424083795049</v>
      </c>
      <c r="T29" s="12">
        <f t="shared" si="8"/>
        <v>320340</v>
      </c>
      <c r="U29" s="3"/>
      <c r="V29" s="2">
        <f t="shared" si="9"/>
        <v>1</v>
      </c>
    </row>
    <row r="30" spans="1:22" x14ac:dyDescent="0.3">
      <c r="A30" t="s">
        <v>31</v>
      </c>
      <c r="B30" s="4">
        <v>43699</v>
      </c>
      <c r="C30" s="15">
        <v>360</v>
      </c>
      <c r="D30" s="5">
        <v>2535000</v>
      </c>
      <c r="E30" s="9">
        <f t="shared" si="13"/>
        <v>293499.00717801281</v>
      </c>
      <c r="F30" s="18">
        <v>13000</v>
      </c>
      <c r="G30" s="11">
        <f>F30/$T30</f>
        <v>4.1593345064789636E-2</v>
      </c>
      <c r="H30" s="19">
        <f t="shared" si="2"/>
        <v>5.1282051282051282E-3</v>
      </c>
      <c r="I30" s="7">
        <v>114740</v>
      </c>
      <c r="J30" s="11">
        <f>I30/$T30</f>
        <v>0.36710926251799714</v>
      </c>
      <c r="K30" s="13">
        <f t="shared" si="4"/>
        <v>4.5262327416173573E-2</v>
      </c>
      <c r="L30" s="31">
        <v>156300</v>
      </c>
      <c r="M30" s="32">
        <f>L30/$T30</f>
        <v>0.50007998720204772</v>
      </c>
      <c r="N30" s="27"/>
      <c r="O30" s="7">
        <v>28510</v>
      </c>
      <c r="P30" s="13">
        <f t="shared" si="6"/>
        <v>9.1217405215165567E-2</v>
      </c>
      <c r="Q30" s="23">
        <v>0</v>
      </c>
      <c r="R30" s="19">
        <f t="shared" si="7"/>
        <v>0</v>
      </c>
      <c r="S30" s="25">
        <f t="shared" si="14"/>
        <v>19050.992821987194</v>
      </c>
      <c r="T30" s="12">
        <f t="shared" si="8"/>
        <v>312550</v>
      </c>
      <c r="U30" s="3"/>
      <c r="V30" s="2">
        <f t="shared" si="9"/>
        <v>1</v>
      </c>
    </row>
    <row r="31" spans="1:22" ht="15" thickBot="1" x14ac:dyDescent="0.35">
      <c r="A31" t="s">
        <v>20</v>
      </c>
      <c r="B31" s="66">
        <v>43881</v>
      </c>
      <c r="C31" s="16">
        <v>210</v>
      </c>
      <c r="D31" s="6">
        <v>2560006</v>
      </c>
      <c r="E31" s="10">
        <f t="shared" si="13"/>
        <v>296163.25342368666</v>
      </c>
      <c r="F31" s="20">
        <v>9700</v>
      </c>
      <c r="G31" s="17">
        <f>F31/$T31</f>
        <v>3.2436047483698376E-2</v>
      </c>
      <c r="H31" s="21">
        <f t="shared" si="2"/>
        <v>3.7890536194055795E-3</v>
      </c>
      <c r="I31" s="8">
        <v>94800</v>
      </c>
      <c r="J31" s="17">
        <f>I31/$T31</f>
        <v>0.31700384551078414</v>
      </c>
      <c r="K31" s="22">
        <f t="shared" si="4"/>
        <v>3.7031163208211232E-2</v>
      </c>
      <c r="L31" s="34">
        <v>182100</v>
      </c>
      <c r="M31" s="35">
        <f>L31/$T31</f>
        <v>0.60892827286406959</v>
      </c>
      <c r="N31" s="28"/>
      <c r="O31" s="8">
        <v>0</v>
      </c>
      <c r="P31" s="22">
        <f t="shared" ref="P31:P36" si="16">O31/T31</f>
        <v>0</v>
      </c>
      <c r="Q31" s="24">
        <v>12450</v>
      </c>
      <c r="R31" s="21">
        <f t="shared" ref="R31:R36" si="17">Q31/T31</f>
        <v>4.1631834141447915E-2</v>
      </c>
      <c r="S31" s="26"/>
      <c r="T31" s="12">
        <f t="shared" si="8"/>
        <v>299050</v>
      </c>
      <c r="U31" s="3"/>
      <c r="V31" s="2">
        <f t="shared" si="9"/>
        <v>1</v>
      </c>
    </row>
    <row r="32" spans="1:22" ht="15" thickTop="1" x14ac:dyDescent="0.3">
      <c r="A32" t="s">
        <v>41</v>
      </c>
      <c r="B32" s="67">
        <v>43816</v>
      </c>
      <c r="C32" s="14">
        <v>300</v>
      </c>
      <c r="D32" s="37">
        <v>2568000</v>
      </c>
      <c r="E32" s="37">
        <f t="shared" si="13"/>
        <v>297014.53164252854</v>
      </c>
      <c r="F32" s="37">
        <v>11500</v>
      </c>
      <c r="G32" s="63">
        <f>F32/$T32</f>
        <v>4.2810768955863956E-2</v>
      </c>
      <c r="H32" s="63">
        <f t="shared" si="2"/>
        <v>4.4781931464174451E-3</v>
      </c>
      <c r="I32" s="37">
        <v>101600</v>
      </c>
      <c r="J32" s="63">
        <f>I32/$T32</f>
        <v>0.37822383703615464</v>
      </c>
      <c r="K32" s="63">
        <f t="shared" si="4"/>
        <v>3.956386292834891E-2</v>
      </c>
      <c r="L32" s="64">
        <v>140100</v>
      </c>
      <c r="M32" s="65">
        <f>L32/$T32</f>
        <v>0.52154684614926439</v>
      </c>
      <c r="N32" s="63"/>
      <c r="O32" s="37">
        <v>15424</v>
      </c>
      <c r="P32" s="63">
        <f t="shared" si="16"/>
        <v>5.7418547858717014E-2</v>
      </c>
      <c r="Q32" s="37">
        <v>0</v>
      </c>
      <c r="R32" s="63">
        <f t="shared" si="17"/>
        <v>0</v>
      </c>
      <c r="S32" s="37"/>
      <c r="T32" s="12">
        <f t="shared" si="8"/>
        <v>268624</v>
      </c>
      <c r="U32" s="3"/>
      <c r="V32" s="2">
        <f t="shared" si="9"/>
        <v>1</v>
      </c>
    </row>
    <row r="33" spans="1:22" x14ac:dyDescent="0.3">
      <c r="A33" t="s">
        <v>54</v>
      </c>
      <c r="B33" s="68" t="s">
        <v>56</v>
      </c>
      <c r="D33" s="37">
        <v>2825590</v>
      </c>
      <c r="E33" s="37">
        <f t="shared" si="13"/>
        <v>324336.33280181716</v>
      </c>
      <c r="F33" s="37">
        <v>30954</v>
      </c>
      <c r="G33" s="63">
        <f>F33/T33</f>
        <v>0.11136535348084188</v>
      </c>
      <c r="H33" s="63">
        <f t="shared" si="2"/>
        <v>1.0954880219706326E-2</v>
      </c>
      <c r="I33" s="37">
        <v>90928</v>
      </c>
      <c r="J33" s="63">
        <f>I33/T33</f>
        <v>0.32713797445583737</v>
      </c>
      <c r="K33" s="63">
        <f t="shared" si="4"/>
        <v>3.2180181838129381E-2</v>
      </c>
      <c r="L33" s="64">
        <v>124768</v>
      </c>
      <c r="M33" s="65">
        <f>L33/T33</f>
        <v>0.4488864903759669</v>
      </c>
      <c r="N33" s="63"/>
      <c r="O33" s="37">
        <v>31300</v>
      </c>
      <c r="P33" s="63">
        <f t="shared" si="16"/>
        <v>0.11261018168735384</v>
      </c>
      <c r="Q33" s="37">
        <v>0</v>
      </c>
      <c r="R33" s="63">
        <f t="shared" si="17"/>
        <v>0</v>
      </c>
      <c r="S33" s="37"/>
      <c r="T33" s="12">
        <f t="shared" si="8"/>
        <v>277950</v>
      </c>
      <c r="U33" s="3"/>
      <c r="V33" s="2">
        <f t="shared" si="9"/>
        <v>0.99999999999999989</v>
      </c>
    </row>
    <row r="34" spans="1:22" x14ac:dyDescent="0.3">
      <c r="A34" t="s">
        <v>55</v>
      </c>
      <c r="B34" s="68" t="s">
        <v>56</v>
      </c>
      <c r="D34" s="37">
        <v>3170000</v>
      </c>
      <c r="E34" s="37">
        <f t="shared" si="13"/>
        <v>360561.77242013894</v>
      </c>
      <c r="F34" s="37">
        <v>10500</v>
      </c>
      <c r="G34" s="63">
        <f>F34/T34</f>
        <v>2.0836682085811409E-2</v>
      </c>
      <c r="H34" s="63">
        <f t="shared" si="2"/>
        <v>3.3123028391167193E-3</v>
      </c>
      <c r="I34" s="37">
        <v>121000</v>
      </c>
      <c r="J34" s="63">
        <f>I34/T34</f>
        <v>0.24011795546506481</v>
      </c>
      <c r="K34" s="63">
        <f t="shared" si="4"/>
        <v>3.8170347003154574E-2</v>
      </c>
      <c r="L34" s="64">
        <v>249800</v>
      </c>
      <c r="M34" s="65">
        <f>L34/T34</f>
        <v>0.49571458905101812</v>
      </c>
      <c r="N34" s="63"/>
      <c r="O34" s="37">
        <v>5679</v>
      </c>
      <c r="P34" s="63">
        <f t="shared" si="16"/>
        <v>1.1269668339554572E-2</v>
      </c>
      <c r="Q34" s="37">
        <v>116940</v>
      </c>
      <c r="R34" s="63">
        <f t="shared" si="17"/>
        <v>0.23206110505855107</v>
      </c>
      <c r="S34" s="37"/>
      <c r="T34" s="12">
        <f t="shared" si="8"/>
        <v>503919</v>
      </c>
      <c r="U34" s="3"/>
      <c r="V34" s="2">
        <f t="shared" si="9"/>
        <v>1</v>
      </c>
    </row>
    <row r="35" spans="1:22" x14ac:dyDescent="0.3">
      <c r="A35" t="s">
        <v>57</v>
      </c>
      <c r="B35" s="68" t="s">
        <v>56</v>
      </c>
      <c r="D35" s="37">
        <v>6174000</v>
      </c>
      <c r="E35" s="37">
        <f t="shared" si="13"/>
        <v>666039.76399169129</v>
      </c>
      <c r="F35" s="37">
        <v>14804</v>
      </c>
      <c r="G35" s="63">
        <f>F35/T35</f>
        <v>2.1456689489642699E-2</v>
      </c>
      <c r="H35" s="63">
        <f t="shared" si="2"/>
        <v>2.3977972141237449E-3</v>
      </c>
      <c r="I35" s="37">
        <v>300153</v>
      </c>
      <c r="J35" s="63">
        <f>I35/T35</f>
        <v>0.43503713323322918</v>
      </c>
      <c r="K35" s="63">
        <f t="shared" si="4"/>
        <v>4.8615646258503405E-2</v>
      </c>
      <c r="L35" s="64">
        <v>366101</v>
      </c>
      <c r="M35" s="65">
        <f>L35/T35</f>
        <v>0.53062114826044859</v>
      </c>
      <c r="N35" s="63"/>
      <c r="O35" s="37">
        <v>1200</v>
      </c>
      <c r="P35" s="63">
        <f t="shared" si="16"/>
        <v>1.7392615095630395E-3</v>
      </c>
      <c r="Q35" s="37">
        <v>7690</v>
      </c>
      <c r="R35" s="63">
        <f t="shared" si="17"/>
        <v>1.1145767507116478E-2</v>
      </c>
      <c r="S35" s="37"/>
      <c r="T35" s="12">
        <f t="shared" si="8"/>
        <v>689948</v>
      </c>
      <c r="U35" s="3"/>
      <c r="V35" s="2">
        <f t="shared" si="9"/>
        <v>1</v>
      </c>
    </row>
    <row r="36" spans="1:22" x14ac:dyDescent="0.3">
      <c r="A36" t="s">
        <v>44</v>
      </c>
      <c r="B36" s="67">
        <v>44004</v>
      </c>
      <c r="D36" s="37">
        <v>6450000</v>
      </c>
      <c r="E36" s="37">
        <f t="shared" si="13"/>
        <v>693402.16997977719</v>
      </c>
      <c r="F36" s="37">
        <v>19450</v>
      </c>
      <c r="G36" s="63">
        <f>F36/$T36</f>
        <v>2.690298879065187E-2</v>
      </c>
      <c r="H36" s="63">
        <f t="shared" si="2"/>
        <v>3.0155038759689923E-3</v>
      </c>
      <c r="I36" s="37">
        <v>331990</v>
      </c>
      <c r="J36" s="63">
        <f>I36/$T36</f>
        <v>0.4592042801341138</v>
      </c>
      <c r="K36" s="63">
        <f t="shared" si="4"/>
        <v>5.1471317829457366E-2</v>
      </c>
      <c r="L36" s="64">
        <v>346700</v>
      </c>
      <c r="M36" s="65">
        <f>L36/$T36</f>
        <v>0.47955096214493587</v>
      </c>
      <c r="N36" s="63"/>
      <c r="O36" s="37">
        <v>22523</v>
      </c>
      <c r="P36" s="63">
        <f t="shared" si="16"/>
        <v>3.1153522700866427E-2</v>
      </c>
      <c r="Q36" s="37">
        <v>2305</v>
      </c>
      <c r="R36" s="63">
        <f t="shared" si="17"/>
        <v>3.1882462294320082E-3</v>
      </c>
      <c r="S36" s="37"/>
      <c r="T36" s="12">
        <f t="shared" si="8"/>
        <v>722968</v>
      </c>
      <c r="U36" s="3"/>
      <c r="V36" s="2">
        <f t="shared" si="9"/>
        <v>1</v>
      </c>
    </row>
    <row r="37" spans="1:22" x14ac:dyDescent="0.3">
      <c r="D37" s="37"/>
      <c r="E37" s="37"/>
      <c r="F37" s="37"/>
      <c r="G37" s="63"/>
      <c r="H37" s="63"/>
      <c r="I37" s="37"/>
      <c r="J37" s="63"/>
      <c r="K37" s="63"/>
      <c r="L37" s="64"/>
      <c r="M37" s="65"/>
      <c r="N37" s="63"/>
      <c r="O37" s="37"/>
      <c r="P37" s="63"/>
      <c r="Q37" s="37"/>
      <c r="R37" s="63"/>
      <c r="S37" s="37"/>
      <c r="T37" s="37"/>
      <c r="U37" s="3"/>
      <c r="V37" s="2"/>
    </row>
    <row r="38" spans="1:22" x14ac:dyDescent="0.3">
      <c r="D38" s="37"/>
      <c r="E38" s="37"/>
      <c r="F38" s="37"/>
      <c r="G38" s="63"/>
      <c r="H38" s="63"/>
      <c r="I38" s="37"/>
      <c r="J38" s="63"/>
      <c r="K38" s="63"/>
      <c r="L38" s="64"/>
      <c r="M38" s="65"/>
      <c r="N38" s="63"/>
      <c r="O38" s="37"/>
      <c r="P38" s="63"/>
      <c r="Q38" s="37"/>
      <c r="R38" s="63"/>
      <c r="S38" s="37"/>
      <c r="T38" s="37"/>
      <c r="U38" s="3"/>
      <c r="V38" s="2"/>
    </row>
    <row r="39" spans="1:22" x14ac:dyDescent="0.3">
      <c r="L39" s="29"/>
      <c r="M39" s="36"/>
    </row>
    <row r="40" spans="1:22" x14ac:dyDescent="0.3">
      <c r="L40" s="29" t="s">
        <v>52</v>
      </c>
      <c r="M40" s="36">
        <f>MEDIAN(M4:M36)</f>
        <v>0.52296016642268284</v>
      </c>
    </row>
    <row r="41" spans="1:22" x14ac:dyDescent="0.3">
      <c r="L41" s="29"/>
      <c r="M41" s="30"/>
    </row>
    <row r="42" spans="1:22" x14ac:dyDescent="0.3">
      <c r="H42" s="3"/>
      <c r="L42" s="29" t="s">
        <v>50</v>
      </c>
      <c r="M42" s="36">
        <f>MEDIAN(M4:M21)</f>
        <v>0.5041662369814035</v>
      </c>
    </row>
    <row r="43" spans="1:22" x14ac:dyDescent="0.3">
      <c r="L43" s="29" t="s">
        <v>51</v>
      </c>
      <c r="M43" s="36">
        <f>MEDIAN(M22:M36)</f>
        <v>0.53062114826044859</v>
      </c>
    </row>
    <row r="47" spans="1:22" x14ac:dyDescent="0.3">
      <c r="A47" t="s">
        <v>40</v>
      </c>
    </row>
  </sheetData>
  <sortState xmlns:xlrd2="http://schemas.microsoft.com/office/spreadsheetml/2017/richdata2" ref="A4:M36">
    <sortCondition ref="D4:D36"/>
  </sortState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CE820-3BDD-4A1D-B6E8-23C37694A8C3}">
  <dimension ref="D2:I35"/>
  <sheetViews>
    <sheetView workbookViewId="0">
      <selection activeCell="L29" sqref="L29"/>
    </sheetView>
  </sheetViews>
  <sheetFormatPr defaultRowHeight="14.4" x14ac:dyDescent="0.3"/>
  <sheetData>
    <row r="2" spans="6:9" ht="15" thickBot="1" x14ac:dyDescent="0.35"/>
    <row r="3" spans="6:9" ht="15" thickBot="1" x14ac:dyDescent="0.35">
      <c r="F3" s="97" t="s">
        <v>64</v>
      </c>
      <c r="G3" s="98"/>
      <c r="H3" s="98"/>
      <c r="I3" s="99"/>
    </row>
    <row r="4" spans="6:9" x14ac:dyDescent="0.3">
      <c r="F4" t="s">
        <v>63</v>
      </c>
      <c r="H4" t="s">
        <v>65</v>
      </c>
    </row>
    <row r="5" spans="6:9" ht="15" thickBot="1" x14ac:dyDescent="0.35"/>
    <row r="6" spans="6:9" x14ac:dyDescent="0.3">
      <c r="F6" s="92">
        <f>'Raw Data'!$M4</f>
        <v>0.28854489164086689</v>
      </c>
      <c r="H6" s="92">
        <f>'Raw Data'!$M13</f>
        <v>0.60606060606060608</v>
      </c>
    </row>
    <row r="7" spans="6:9" x14ac:dyDescent="0.3">
      <c r="F7" s="93">
        <f>'Raw Data'!$M5</f>
        <v>0.37768240343347642</v>
      </c>
      <c r="H7" s="93">
        <f>'Raw Data'!$M14</f>
        <v>0.68569553805774275</v>
      </c>
    </row>
    <row r="8" spans="6:9" x14ac:dyDescent="0.3">
      <c r="F8" s="93">
        <f>'Raw Data'!$M6</f>
        <v>0.57425742574257421</v>
      </c>
      <c r="H8" s="93">
        <f>'Raw Data'!$M15</f>
        <v>0.53133797238504943</v>
      </c>
    </row>
    <row r="9" spans="6:9" x14ac:dyDescent="0.3">
      <c r="F9" s="93">
        <f>'Raw Data'!$M7</f>
        <v>0.40740740740740738</v>
      </c>
      <c r="H9" s="93">
        <f>'Raw Data'!$M16</f>
        <v>0.53288643681623893</v>
      </c>
    </row>
    <row r="10" spans="6:9" x14ac:dyDescent="0.3">
      <c r="F10" s="93">
        <f>'Raw Data'!$M8</f>
        <v>0.48537230754012417</v>
      </c>
      <c r="H10" s="93">
        <f>'Raw Data'!$M17</f>
        <v>0.53281135956472692</v>
      </c>
    </row>
    <row r="11" spans="6:9" x14ac:dyDescent="0.3">
      <c r="F11" s="93">
        <f>'Raw Data'!$M9</f>
        <v>0.55383705353259449</v>
      </c>
      <c r="H11" s="93">
        <f>'Raw Data'!$M18</f>
        <v>0.42513576415826221</v>
      </c>
    </row>
    <row r="12" spans="6:9" x14ac:dyDescent="0.3">
      <c r="F12" s="93">
        <f>'Raw Data'!$M10</f>
        <v>0.32744202597710692</v>
      </c>
      <c r="H12" s="93">
        <f>'Raw Data'!$M19</f>
        <v>0.55381427378307257</v>
      </c>
    </row>
    <row r="13" spans="6:9" x14ac:dyDescent="0.3">
      <c r="F13" s="93">
        <f>'Raw Data'!$M11</f>
        <v>0.31405772495755518</v>
      </c>
      <c r="H13" s="93">
        <f>'Raw Data'!$M20</f>
        <v>0.52296016642268284</v>
      </c>
    </row>
    <row r="14" spans="6:9" ht="15" thickBot="1" x14ac:dyDescent="0.35">
      <c r="F14" s="91">
        <f>'Raw Data'!$M12</f>
        <v>0.47604790419161674</v>
      </c>
      <c r="H14" s="93">
        <f>'Raw Data'!$M21</f>
        <v>0.36902234354463653</v>
      </c>
    </row>
    <row r="15" spans="6:9" x14ac:dyDescent="0.3">
      <c r="H15" s="93">
        <f>'Raw Data'!$M22</f>
        <v>0.5753494715308558</v>
      </c>
    </row>
    <row r="16" spans="6:9" x14ac:dyDescent="0.3">
      <c r="H16" s="93">
        <f>'Raw Data'!$M23</f>
        <v>0.5706201601694354</v>
      </c>
    </row>
    <row r="17" spans="4:8" x14ac:dyDescent="0.3">
      <c r="H17" s="93">
        <f>'Raw Data'!$M24</f>
        <v>0.49169509120569477</v>
      </c>
    </row>
    <row r="18" spans="4:8" x14ac:dyDescent="0.3">
      <c r="H18" s="93">
        <f>'Raw Data'!$M25</f>
        <v>0.63565891472868219</v>
      </c>
    </row>
    <row r="19" spans="4:8" x14ac:dyDescent="0.3">
      <c r="H19" s="93">
        <f>'Raw Data'!$M26</f>
        <v>0.60228844461209607</v>
      </c>
    </row>
    <row r="20" spans="4:8" x14ac:dyDescent="0.3">
      <c r="H20" s="93">
        <f>'Raw Data'!$M27</f>
        <v>0.54709766884546251</v>
      </c>
    </row>
    <row r="21" spans="4:8" x14ac:dyDescent="0.3">
      <c r="H21" s="93">
        <f>'Raw Data'!$M28</f>
        <v>0.6331030818278427</v>
      </c>
    </row>
    <row r="22" spans="4:8" x14ac:dyDescent="0.3">
      <c r="H22" s="93">
        <f>'Raw Data'!$M29</f>
        <v>0.44483985765124556</v>
      </c>
    </row>
    <row r="23" spans="4:8" x14ac:dyDescent="0.3">
      <c r="H23" s="93">
        <f>'Raw Data'!$M30</f>
        <v>0.50007998720204772</v>
      </c>
    </row>
    <row r="24" spans="4:8" x14ac:dyDescent="0.3">
      <c r="H24" s="93">
        <f>'Raw Data'!$M31</f>
        <v>0.60892827286406959</v>
      </c>
    </row>
    <row r="25" spans="4:8" x14ac:dyDescent="0.3">
      <c r="H25" s="93">
        <f>'Raw Data'!$M32</f>
        <v>0.52154684614926439</v>
      </c>
    </row>
    <row r="26" spans="4:8" x14ac:dyDescent="0.3">
      <c r="H26" s="93">
        <f>'Raw Data'!$M33</f>
        <v>0.4488864903759669</v>
      </c>
    </row>
    <row r="27" spans="4:8" x14ac:dyDescent="0.3">
      <c r="H27" s="93">
        <f>'Raw Data'!$M34</f>
        <v>0.49571458905101812</v>
      </c>
    </row>
    <row r="28" spans="4:8" x14ac:dyDescent="0.3">
      <c r="H28" s="93">
        <f>'Raw Data'!$M35</f>
        <v>0.53062114826044859</v>
      </c>
    </row>
    <row r="29" spans="4:8" ht="15" thickBot="1" x14ac:dyDescent="0.35">
      <c r="H29" s="91">
        <f>'Raw Data'!$M36</f>
        <v>0.47955096214493587</v>
      </c>
    </row>
    <row r="31" spans="4:8" x14ac:dyDescent="0.3">
      <c r="D31" s="100" t="s">
        <v>61</v>
      </c>
      <c r="E31" s="100"/>
      <c r="F31" s="2">
        <f>AVERAGE(F6:F14)</f>
        <v>0.42273879382481355</v>
      </c>
      <c r="H31" s="2">
        <f>AVERAGE(H6:H29)</f>
        <v>0.53523772697550354</v>
      </c>
    </row>
    <row r="32" spans="4:8" x14ac:dyDescent="0.3">
      <c r="D32" s="100" t="s">
        <v>62</v>
      </c>
      <c r="E32" s="100"/>
      <c r="F32" s="2">
        <f>MEDIAN(F6:F31)</f>
        <v>0.41507310061611047</v>
      </c>
      <c r="H32" s="2">
        <f>MEDIAN(H6:H31)</f>
        <v>0.53281135956472692</v>
      </c>
    </row>
    <row r="34" spans="4:8" x14ac:dyDescent="0.3">
      <c r="D34" s="100" t="s">
        <v>66</v>
      </c>
      <c r="E34" s="100"/>
      <c r="F34" s="94">
        <v>0.4</v>
      </c>
      <c r="H34" s="94">
        <v>0.52</v>
      </c>
    </row>
    <row r="35" spans="4:8" x14ac:dyDescent="0.3">
      <c r="D35" s="101" t="s">
        <v>67</v>
      </c>
      <c r="E35" s="101"/>
      <c r="F35" s="96">
        <v>0.6</v>
      </c>
      <c r="G35" s="95"/>
      <c r="H35" s="96">
        <v>0.48</v>
      </c>
    </row>
  </sheetData>
  <mergeCells count="5">
    <mergeCell ref="F3:I3"/>
    <mergeCell ref="D31:E31"/>
    <mergeCell ref="D32:E32"/>
    <mergeCell ref="D34:E34"/>
    <mergeCell ref="D35:E3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E7CA5617EA5E34B822E1B21876D7D2B" ma:contentTypeVersion="13" ma:contentTypeDescription="Create a new document." ma:contentTypeScope="" ma:versionID="b9604e8b727860ecf5a9df792a18e0f3">
  <xsd:schema xmlns:xsd="http://www.w3.org/2001/XMLSchema" xmlns:xs="http://www.w3.org/2001/XMLSchema" xmlns:p="http://schemas.microsoft.com/office/2006/metadata/properties" xmlns:ns1="http://schemas.microsoft.com/sharepoint/v3" xmlns:ns3="a8280519-9032-4195-aa76-3edb4d76f663" xmlns:ns4="95c9f429-c2fe-48ac-b4bf-c9cc788d7092" targetNamespace="http://schemas.microsoft.com/office/2006/metadata/properties" ma:root="true" ma:fieldsID="13c229d953a268e8e90d8f93cb15beb5" ns1:_="" ns3:_="" ns4:_="">
    <xsd:import namespace="http://schemas.microsoft.com/sharepoint/v3"/>
    <xsd:import namespace="a8280519-9032-4195-aa76-3edb4d76f663"/>
    <xsd:import namespace="95c9f429-c2fe-48ac-b4bf-c9cc788d7092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1:_ip_UnifiedCompliancePolicyProperties" minOccurs="0"/>
                <xsd:element ref="ns1:_ip_UnifiedCompliancePolicyUIAction" minOccurs="0"/>
                <xsd:element ref="ns4:MediaServiceDateTaken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7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8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280519-9032-4195-aa76-3edb4d76f66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c9f429-c2fe-48ac-b4bf-c9cc788d70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43919A4-80F9-4B53-A2AB-701AEB108746}">
  <ds:schemaRefs>
    <ds:schemaRef ds:uri="http://purl.org/dc/elements/1.1/"/>
    <ds:schemaRef ds:uri="http://schemas.microsoft.com/office/infopath/2007/PartnerControls"/>
    <ds:schemaRef ds:uri="a8280519-9032-4195-aa76-3edb4d76f663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microsoft.com/sharepoint/v3"/>
    <ds:schemaRef ds:uri="http://schemas.openxmlformats.org/package/2006/metadata/core-properties"/>
    <ds:schemaRef ds:uri="95c9f429-c2fe-48ac-b4bf-c9cc788d7092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13EB363-A982-4014-A89A-87C9013281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8280519-9032-4195-aa76-3edb4d76f663"/>
    <ds:schemaRef ds:uri="95c9f429-c2fe-48ac-b4bf-c9cc788d709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A53A26E-42B2-49F4-B3ED-C840C1BF6700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20b4933b-baad-433c-9c02-70edcc7559c6}" enabled="0" method="" siteId="{20b4933b-baad-433c-9c02-70edcc7559c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Raw Data</vt:lpstr>
      <vt:lpstr>RPR %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Blatt, Eric</cp:lastModifiedBy>
  <dcterms:created xsi:type="dcterms:W3CDTF">2021-02-03T14:54:27Z</dcterms:created>
  <dcterms:modified xsi:type="dcterms:W3CDTF">2025-02-25T14:05:46Z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0x010100DE7CA5617EA5E34B822E1B21876D7D2B</vt:lpwstr>
  </property>
</Properties>
</file>